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35" windowWidth="18195" windowHeight="10545" tabRatio="695" activeTab="3"/>
  </bookViews>
  <sheets>
    <sheet name="Travi" sheetId="10" r:id="rId1"/>
    <sheet name="Pilastri" sheetId="11" r:id="rId2"/>
    <sheet name="Spettri di risposta" sheetId="12" r:id="rId3"/>
    <sheet name="Rigidezze" sheetId="15" r:id="rId4"/>
    <sheet name="Rayleigh" sheetId="14" r:id="rId5"/>
    <sheet name="Car.Soll." sheetId="8" r:id="rId6"/>
    <sheet name="Dimensionamento" sheetId="9" r:id="rId7"/>
  </sheets>
  <calcPr calcId="125725"/>
</workbook>
</file>

<file path=xl/calcChain.xml><?xml version="1.0" encoding="utf-8"?>
<calcChain xmlns="http://schemas.openxmlformats.org/spreadsheetml/2006/main">
  <c r="A58" i="8"/>
  <c r="A57"/>
  <c r="A56"/>
  <c r="A55"/>
  <c r="A54"/>
  <c r="A53"/>
  <c r="A52"/>
  <c r="A51"/>
  <c r="A40"/>
  <c r="A41"/>
  <c r="A42"/>
  <c r="A43"/>
  <c r="A44"/>
  <c r="A45"/>
  <c r="A46"/>
  <c r="A39"/>
  <c r="A24"/>
  <c r="A25"/>
  <c r="A26"/>
  <c r="A27"/>
  <c r="A28"/>
  <c r="A29"/>
  <c r="A30"/>
  <c r="A23"/>
  <c r="A17"/>
  <c r="B40"/>
  <c r="B41"/>
  <c r="B42"/>
  <c r="B43"/>
  <c r="B44"/>
  <c r="B45"/>
  <c r="B39"/>
  <c r="B12"/>
  <c r="C12" s="1"/>
  <c r="C40" s="1"/>
  <c r="B13"/>
  <c r="C13" s="1"/>
  <c r="C41" s="1"/>
  <c r="B14"/>
  <c r="C14" s="1"/>
  <c r="C42" s="1"/>
  <c r="B15"/>
  <c r="C15" s="1"/>
  <c r="C43" s="1"/>
  <c r="B16"/>
  <c r="B17"/>
  <c r="B11"/>
  <c r="C11" s="1"/>
  <c r="C39" s="1"/>
  <c r="O37" i="14"/>
  <c r="O38"/>
  <c r="O39"/>
  <c r="O40"/>
  <c r="O41"/>
  <c r="O42"/>
  <c r="O36"/>
  <c r="O20"/>
  <c r="O21"/>
  <c r="O22"/>
  <c r="O23"/>
  <c r="O24"/>
  <c r="O25"/>
  <c r="O19"/>
  <c r="D39" i="8"/>
  <c r="D40"/>
  <c r="D41"/>
  <c r="D42"/>
  <c r="D43"/>
  <c r="D44"/>
  <c r="D45"/>
  <c r="D17"/>
  <c r="D11"/>
  <c r="D12"/>
  <c r="D13"/>
  <c r="D14"/>
  <c r="D15"/>
  <c r="D16"/>
  <c r="C16"/>
  <c r="C44" s="1"/>
  <c r="C17"/>
  <c r="C45" s="1"/>
  <c r="A18"/>
  <c r="A12"/>
  <c r="A13"/>
  <c r="A14"/>
  <c r="A15"/>
  <c r="A16"/>
  <c r="A11"/>
  <c r="N4" i="15" l="1"/>
  <c r="O4"/>
  <c r="P4"/>
  <c r="Q4"/>
  <c r="R4"/>
  <c r="S4"/>
  <c r="N5"/>
  <c r="O5"/>
  <c r="P5"/>
  <c r="Q5"/>
  <c r="R5"/>
  <c r="S5"/>
  <c r="N6"/>
  <c r="O6"/>
  <c r="P6"/>
  <c r="Q6"/>
  <c r="R6"/>
  <c r="S6"/>
  <c r="N7"/>
  <c r="O7"/>
  <c r="P7"/>
  <c r="Q7"/>
  <c r="R7"/>
  <c r="S7"/>
  <c r="N8"/>
  <c r="O8"/>
  <c r="P8"/>
  <c r="Q8"/>
  <c r="R8"/>
  <c r="S8"/>
  <c r="N9"/>
  <c r="O9"/>
  <c r="P9"/>
  <c r="Q9"/>
  <c r="R9"/>
  <c r="S9"/>
  <c r="N10"/>
  <c r="O10"/>
  <c r="P10"/>
  <c r="Q10"/>
  <c r="R10"/>
  <c r="S10"/>
  <c r="N2"/>
  <c r="O2"/>
  <c r="P2"/>
  <c r="Q2"/>
  <c r="R2"/>
  <c r="S2"/>
  <c r="N3"/>
  <c r="O3"/>
  <c r="P3"/>
  <c r="Q3"/>
  <c r="R3"/>
  <c r="S3"/>
  <c r="M3"/>
  <c r="M2"/>
  <c r="B26"/>
  <c r="H19"/>
  <c r="C26"/>
  <c r="D26"/>
  <c r="E26"/>
  <c r="F26"/>
  <c r="G26"/>
  <c r="H26"/>
  <c r="C27"/>
  <c r="D27"/>
  <c r="E27"/>
  <c r="F27"/>
  <c r="G27"/>
  <c r="H27"/>
  <c r="B27"/>
  <c r="B13"/>
  <c r="G31"/>
  <c r="H31"/>
  <c r="G32"/>
  <c r="H32"/>
  <c r="G33"/>
  <c r="H33"/>
  <c r="G34"/>
  <c r="H34"/>
  <c r="G35"/>
  <c r="H35"/>
  <c r="G36"/>
  <c r="H36"/>
  <c r="I36" s="1"/>
  <c r="G37"/>
  <c r="I37" s="1"/>
  <c r="H37"/>
  <c r="H17"/>
  <c r="H18"/>
  <c r="I19"/>
  <c r="H20"/>
  <c r="H21"/>
  <c r="H22"/>
  <c r="H23"/>
  <c r="I23" s="1"/>
  <c r="G17"/>
  <c r="G18"/>
  <c r="G19"/>
  <c r="G20"/>
  <c r="G21"/>
  <c r="G22"/>
  <c r="G23"/>
  <c r="C13"/>
  <c r="D13"/>
  <c r="E13"/>
  <c r="F13"/>
  <c r="G13"/>
  <c r="H13"/>
  <c r="I34"/>
  <c r="I33"/>
  <c r="I32"/>
  <c r="I31"/>
  <c r="I18"/>
  <c r="J18" s="1"/>
  <c r="I17"/>
  <c r="J17" s="1"/>
  <c r="J32"/>
  <c r="J31"/>
  <c r="M5"/>
  <c r="M6"/>
  <c r="M7"/>
  <c r="M8"/>
  <c r="M9"/>
  <c r="M10"/>
  <c r="M4"/>
  <c r="C31"/>
  <c r="D31"/>
  <c r="E31"/>
  <c r="F31"/>
  <c r="C32"/>
  <c r="D32"/>
  <c r="E32"/>
  <c r="F32"/>
  <c r="C33"/>
  <c r="D33"/>
  <c r="E33"/>
  <c r="F33"/>
  <c r="C34"/>
  <c r="D34"/>
  <c r="E34"/>
  <c r="F34"/>
  <c r="C35"/>
  <c r="D35"/>
  <c r="E35"/>
  <c r="F35"/>
  <c r="C36"/>
  <c r="D36"/>
  <c r="E36"/>
  <c r="F36"/>
  <c r="C37"/>
  <c r="D37"/>
  <c r="E37"/>
  <c r="F37"/>
  <c r="B32"/>
  <c r="B33"/>
  <c r="B34"/>
  <c r="B35"/>
  <c r="B36"/>
  <c r="B37"/>
  <c r="B31"/>
  <c r="B17"/>
  <c r="C17"/>
  <c r="D17"/>
  <c r="E17"/>
  <c r="F17"/>
  <c r="C18"/>
  <c r="D18"/>
  <c r="E18"/>
  <c r="F18"/>
  <c r="C19"/>
  <c r="D19"/>
  <c r="E19"/>
  <c r="F19"/>
  <c r="C20"/>
  <c r="D20"/>
  <c r="E20"/>
  <c r="F20"/>
  <c r="C21"/>
  <c r="D21"/>
  <c r="E21"/>
  <c r="F21"/>
  <c r="C22"/>
  <c r="D22"/>
  <c r="E22"/>
  <c r="F22"/>
  <c r="I22"/>
  <c r="C23"/>
  <c r="D23"/>
  <c r="E23"/>
  <c r="F23"/>
  <c r="B18"/>
  <c r="B19"/>
  <c r="B20"/>
  <c r="B21"/>
  <c r="B22"/>
  <c r="B23"/>
  <c r="I20" l="1"/>
  <c r="J19" s="1"/>
  <c r="I35"/>
  <c r="J35" s="1"/>
  <c r="J36"/>
  <c r="J33"/>
  <c r="I21"/>
  <c r="J22"/>
  <c r="J34" l="1"/>
  <c r="J20"/>
  <c r="J21"/>
  <c r="K33" l="1"/>
  <c r="F6" i="14"/>
  <c r="F7"/>
  <c r="F8"/>
  <c r="F9"/>
  <c r="F10"/>
  <c r="F11"/>
  <c r="F5"/>
  <c r="P32"/>
  <c r="M32"/>
  <c r="P20"/>
  <c r="P15"/>
  <c r="M15"/>
  <c r="G37"/>
  <c r="G38"/>
  <c r="G39"/>
  <c r="G40"/>
  <c r="G41"/>
  <c r="G42"/>
  <c r="G36"/>
  <c r="C37"/>
  <c r="C38"/>
  <c r="C39"/>
  <c r="D39" s="1"/>
  <c r="C40"/>
  <c r="D40" s="1"/>
  <c r="C41"/>
  <c r="C42"/>
  <c r="C36"/>
  <c r="C19"/>
  <c r="A37"/>
  <c r="E37" s="1"/>
  <c r="B37"/>
  <c r="D37" s="1"/>
  <c r="A38"/>
  <c r="B38"/>
  <c r="A39"/>
  <c r="B39"/>
  <c r="A40"/>
  <c r="B40"/>
  <c r="A41"/>
  <c r="B41"/>
  <c r="A42"/>
  <c r="B42"/>
  <c r="B36"/>
  <c r="D36" s="1"/>
  <c r="B19"/>
  <c r="A36"/>
  <c r="E36" s="1"/>
  <c r="A19"/>
  <c r="G20"/>
  <c r="H20" s="1"/>
  <c r="I20" s="1"/>
  <c r="N20" s="1"/>
  <c r="G21"/>
  <c r="G22"/>
  <c r="G23"/>
  <c r="G24"/>
  <c r="G25"/>
  <c r="G19"/>
  <c r="H19" s="1"/>
  <c r="I19" s="1"/>
  <c r="Q19" s="1"/>
  <c r="A20"/>
  <c r="B20"/>
  <c r="J20" s="1"/>
  <c r="C20"/>
  <c r="A21"/>
  <c r="B21"/>
  <c r="C21"/>
  <c r="A22"/>
  <c r="B22"/>
  <c r="C22"/>
  <c r="A23"/>
  <c r="B23"/>
  <c r="C23"/>
  <c r="A24"/>
  <c r="B24"/>
  <c r="C24"/>
  <c r="A25"/>
  <c r="B25"/>
  <c r="C25"/>
  <c r="M20" l="1"/>
  <c r="Q20"/>
  <c r="N19"/>
  <c r="P19"/>
  <c r="M19"/>
  <c r="K19" i="15"/>
  <c r="K34"/>
  <c r="K35"/>
  <c r="K22"/>
  <c r="K37"/>
  <c r="K36"/>
  <c r="B26" i="14"/>
  <c r="D41"/>
  <c r="J19"/>
  <c r="D38"/>
  <c r="F36"/>
  <c r="D42"/>
  <c r="B43"/>
  <c r="B45" s="1"/>
  <c r="K21" i="15" l="1"/>
  <c r="K20"/>
  <c r="K23"/>
  <c r="E41" i="14"/>
  <c r="E40"/>
  <c r="E38"/>
  <c r="D43"/>
  <c r="H36"/>
  <c r="F37"/>
  <c r="P36" l="1"/>
  <c r="M36"/>
  <c r="E43"/>
  <c r="E39"/>
  <c r="E42"/>
  <c r="H37"/>
  <c r="F38"/>
  <c r="M37" l="1"/>
  <c r="P37"/>
  <c r="F39"/>
  <c r="H38"/>
  <c r="P38" l="1"/>
  <c r="M38"/>
  <c r="F40"/>
  <c r="H39"/>
  <c r="M39" l="1"/>
  <c r="P39"/>
  <c r="H40"/>
  <c r="F41"/>
  <c r="M40" l="1"/>
  <c r="P40"/>
  <c r="F42"/>
  <c r="H42" s="1"/>
  <c r="H41"/>
  <c r="I42" l="1"/>
  <c r="P42"/>
  <c r="M42"/>
  <c r="P41"/>
  <c r="M41"/>
  <c r="I37"/>
  <c r="N42" l="1"/>
  <c r="Q42"/>
  <c r="J42"/>
  <c r="N37"/>
  <c r="Q37"/>
  <c r="I41"/>
  <c r="K42"/>
  <c r="K41"/>
  <c r="I40"/>
  <c r="K37"/>
  <c r="J37"/>
  <c r="I36"/>
  <c r="Q40" l="1"/>
  <c r="N40"/>
  <c r="Q36"/>
  <c r="N36"/>
  <c r="N41"/>
  <c r="Q41"/>
  <c r="J41"/>
  <c r="J40"/>
  <c r="K40"/>
  <c r="I39"/>
  <c r="K36"/>
  <c r="J36"/>
  <c r="Q39" l="1"/>
  <c r="N39"/>
  <c r="I38"/>
  <c r="J39"/>
  <c r="K39"/>
  <c r="N38" l="1"/>
  <c r="Q38"/>
  <c r="K38"/>
  <c r="K43" s="1"/>
  <c r="J38"/>
  <c r="J43" s="1"/>
  <c r="J9" s="1"/>
  <c r="L10" s="1"/>
  <c r="D20" l="1"/>
  <c r="D21"/>
  <c r="D22"/>
  <c r="D23"/>
  <c r="D24"/>
  <c r="D25"/>
  <c r="D19"/>
  <c r="B28"/>
  <c r="G69" i="9"/>
  <c r="C69"/>
  <c r="G45"/>
  <c r="C45"/>
  <c r="I40" i="8"/>
  <c r="I52" s="1"/>
  <c r="M39"/>
  <c r="M51" s="1"/>
  <c r="I39" l="1"/>
  <c r="I51" s="1"/>
  <c r="H40"/>
  <c r="H52" s="1"/>
  <c r="K39"/>
  <c r="J51" s="1"/>
  <c r="E39"/>
  <c r="E51" s="1"/>
  <c r="L40"/>
  <c r="K52" s="1"/>
  <c r="L52" s="1"/>
  <c r="E40"/>
  <c r="E52" s="1"/>
  <c r="F40"/>
  <c r="F52" s="1"/>
  <c r="G52" s="1"/>
  <c r="H39"/>
  <c r="H51" s="1"/>
  <c r="K40"/>
  <c r="J52" s="1"/>
  <c r="M40"/>
  <c r="M52" s="1"/>
  <c r="L39"/>
  <c r="K51" s="1"/>
  <c r="L51" s="1"/>
  <c r="F39"/>
  <c r="F51" s="1"/>
  <c r="G51" s="1"/>
  <c r="D26" i="14"/>
  <c r="E19"/>
  <c r="E20"/>
  <c r="K20" s="1"/>
  <c r="F19" l="1"/>
  <c r="K19"/>
  <c r="F20"/>
  <c r="E24"/>
  <c r="E25"/>
  <c r="E23"/>
  <c r="E22"/>
  <c r="E21"/>
  <c r="Z52" i="12"/>
  <c r="X52"/>
  <c r="V52"/>
  <c r="AB52" s="1"/>
  <c r="T52"/>
  <c r="R52"/>
  <c r="V48"/>
  <c r="AB48" s="1"/>
  <c r="Z37"/>
  <c r="I23"/>
  <c r="L23" s="1"/>
  <c r="F20"/>
  <c r="X37" s="1"/>
  <c r="F19"/>
  <c r="V37" s="1"/>
  <c r="V44" s="1"/>
  <c r="AB44" s="1"/>
  <c r="F18"/>
  <c r="T37" s="1"/>
  <c r="F17"/>
  <c r="R37" s="1"/>
  <c r="R39" s="1"/>
  <c r="E13"/>
  <c r="AE7"/>
  <c r="AF6"/>
  <c r="AG5"/>
  <c r="AF5"/>
  <c r="AB5"/>
  <c r="Z5"/>
  <c r="AI4"/>
  <c r="AH4"/>
  <c r="B18" s="1"/>
  <c r="C18" s="1"/>
  <c r="AG4"/>
  <c r="AF4"/>
  <c r="B20" s="1"/>
  <c r="C20" s="1"/>
  <c r="E26" i="14" l="1"/>
  <c r="I24" i="12"/>
  <c r="F21" i="14"/>
  <c r="I12" i="8"/>
  <c r="I24" s="1"/>
  <c r="M12"/>
  <c r="M24" s="1"/>
  <c r="H12"/>
  <c r="H24" s="1"/>
  <c r="E11"/>
  <c r="I11"/>
  <c r="I23" s="1"/>
  <c r="H11"/>
  <c r="H23" s="1"/>
  <c r="M11"/>
  <c r="M23" s="1"/>
  <c r="F12"/>
  <c r="F24" s="1"/>
  <c r="G24" s="1"/>
  <c r="K12"/>
  <c r="J24" s="1"/>
  <c r="E12"/>
  <c r="E24" s="1"/>
  <c r="L12"/>
  <c r="K24" s="1"/>
  <c r="L24" s="1"/>
  <c r="L11"/>
  <c r="K23" s="1"/>
  <c r="L23" s="1"/>
  <c r="K11"/>
  <c r="J23" s="1"/>
  <c r="G20" i="12"/>
  <c r="Y5"/>
  <c r="G18"/>
  <c r="U6" s="1"/>
  <c r="U5"/>
  <c r="AA5" s="1"/>
  <c r="R43"/>
  <c r="T51"/>
  <c r="Z51" s="1"/>
  <c r="T50"/>
  <c r="Z50" s="1"/>
  <c r="T49"/>
  <c r="Z49" s="1"/>
  <c r="T48"/>
  <c r="Z48" s="1"/>
  <c r="T47"/>
  <c r="Z47" s="1"/>
  <c r="T46"/>
  <c r="Z46" s="1"/>
  <c r="T45"/>
  <c r="Z45" s="1"/>
  <c r="T44"/>
  <c r="Z44" s="1"/>
  <c r="T43"/>
  <c r="Z43" s="1"/>
  <c r="T42"/>
  <c r="Z42" s="1"/>
  <c r="T41"/>
  <c r="Z41" s="1"/>
  <c r="T40"/>
  <c r="Z40" s="1"/>
  <c r="T39"/>
  <c r="Z39" s="1"/>
  <c r="T38"/>
  <c r="Z38" s="1"/>
  <c r="R48"/>
  <c r="R44"/>
  <c r="R40"/>
  <c r="R49"/>
  <c r="R45"/>
  <c r="R41"/>
  <c r="R50"/>
  <c r="R46"/>
  <c r="R42"/>
  <c r="R38"/>
  <c r="E20"/>
  <c r="E18"/>
  <c r="E19"/>
  <c r="E17"/>
  <c r="AB37"/>
  <c r="V49"/>
  <c r="AB49" s="1"/>
  <c r="V45"/>
  <c r="AB45" s="1"/>
  <c r="V41"/>
  <c r="AB41" s="1"/>
  <c r="V50"/>
  <c r="AB50" s="1"/>
  <c r="V46"/>
  <c r="AB46" s="1"/>
  <c r="V42"/>
  <c r="AB42" s="1"/>
  <c r="V38"/>
  <c r="AB38" s="1"/>
  <c r="V51"/>
  <c r="AB51" s="1"/>
  <c r="V47"/>
  <c r="AB47" s="1"/>
  <c r="V43"/>
  <c r="AB43" s="1"/>
  <c r="V39"/>
  <c r="AB39" s="1"/>
  <c r="I25"/>
  <c r="L24"/>
  <c r="V40"/>
  <c r="AB40" s="1"/>
  <c r="R51"/>
  <c r="B19"/>
  <c r="C19" s="1"/>
  <c r="B17"/>
  <c r="C17" s="1"/>
  <c r="X51"/>
  <c r="X50"/>
  <c r="X49"/>
  <c r="X48"/>
  <c r="X47"/>
  <c r="X46"/>
  <c r="X45"/>
  <c r="X44"/>
  <c r="X43"/>
  <c r="X42"/>
  <c r="X41"/>
  <c r="X40"/>
  <c r="X39"/>
  <c r="X38"/>
  <c r="R47"/>
  <c r="F22" i="14" l="1"/>
  <c r="H21"/>
  <c r="F11" i="8"/>
  <c r="F23" s="1"/>
  <c r="G23" s="1"/>
  <c r="E23"/>
  <c r="G19" i="12"/>
  <c r="W5"/>
  <c r="AC5" s="1"/>
  <c r="I26"/>
  <c r="L26" s="1"/>
  <c r="L25"/>
  <c r="D20"/>
  <c r="X7"/>
  <c r="V7"/>
  <c r="D19"/>
  <c r="G17"/>
  <c r="S6" s="1"/>
  <c r="S7" s="1"/>
  <c r="S5"/>
  <c r="D18"/>
  <c r="T7"/>
  <c r="AA6"/>
  <c r="U7"/>
  <c r="D17"/>
  <c r="R7"/>
  <c r="Y6"/>
  <c r="Y7" s="1"/>
  <c r="O6"/>
  <c r="P21" i="14" l="1"/>
  <c r="M21"/>
  <c r="F23"/>
  <c r="H22"/>
  <c r="R27" i="12"/>
  <c r="R23"/>
  <c r="R36"/>
  <c r="R34"/>
  <c r="S34" s="1"/>
  <c r="R32"/>
  <c r="R30"/>
  <c r="R25"/>
  <c r="R22"/>
  <c r="R21"/>
  <c r="R20"/>
  <c r="R18"/>
  <c r="R16"/>
  <c r="R15"/>
  <c r="R14"/>
  <c r="R13"/>
  <c r="R28"/>
  <c r="S28" s="1"/>
  <c r="R31"/>
  <c r="R26"/>
  <c r="R24"/>
  <c r="R19"/>
  <c r="S19" s="1"/>
  <c r="R10"/>
  <c r="R9"/>
  <c r="R8"/>
  <c r="R33"/>
  <c r="S33" s="1"/>
  <c r="R11"/>
  <c r="R35"/>
  <c r="R17"/>
  <c r="R12"/>
  <c r="S12" s="1"/>
  <c r="R29"/>
  <c r="T36"/>
  <c r="Z36" s="1"/>
  <c r="T34"/>
  <c r="Z34" s="1"/>
  <c r="T32"/>
  <c r="Z32" s="1"/>
  <c r="T30"/>
  <c r="Z30" s="1"/>
  <c r="T28"/>
  <c r="Z28" s="1"/>
  <c r="T26"/>
  <c r="Z26" s="1"/>
  <c r="T24"/>
  <c r="Z24" s="1"/>
  <c r="T19"/>
  <c r="Z19" s="1"/>
  <c r="T17"/>
  <c r="Z17" s="1"/>
  <c r="T35"/>
  <c r="Z35" s="1"/>
  <c r="T33"/>
  <c r="Z33" s="1"/>
  <c r="T31"/>
  <c r="Z31" s="1"/>
  <c r="T29"/>
  <c r="Z29" s="1"/>
  <c r="T23"/>
  <c r="Z23" s="1"/>
  <c r="T21"/>
  <c r="Z21" s="1"/>
  <c r="Z7"/>
  <c r="T16"/>
  <c r="Z16" s="1"/>
  <c r="T22"/>
  <c r="Z22" s="1"/>
  <c r="T18"/>
  <c r="Z18" s="1"/>
  <c r="T14"/>
  <c r="Z14" s="1"/>
  <c r="T12"/>
  <c r="Z12" s="1"/>
  <c r="T25"/>
  <c r="Z25" s="1"/>
  <c r="T13"/>
  <c r="Z13" s="1"/>
  <c r="T27"/>
  <c r="Z27" s="1"/>
  <c r="T15"/>
  <c r="Z15" s="1"/>
  <c r="T11"/>
  <c r="Z11" s="1"/>
  <c r="T9"/>
  <c r="Z9" s="1"/>
  <c r="T8"/>
  <c r="Z8" s="1"/>
  <c r="T20"/>
  <c r="Z20" s="1"/>
  <c r="T10"/>
  <c r="Z10" s="1"/>
  <c r="G29"/>
  <c r="M24" s="1"/>
  <c r="G25"/>
  <c r="V6"/>
  <c r="AB6" s="1"/>
  <c r="G23"/>
  <c r="R6"/>
  <c r="G24"/>
  <c r="T6"/>
  <c r="Z6" s="1"/>
  <c r="V28"/>
  <c r="AB28" s="1"/>
  <c r="V26"/>
  <c r="AB26" s="1"/>
  <c r="V23"/>
  <c r="AB23" s="1"/>
  <c r="V35"/>
  <c r="AB35" s="1"/>
  <c r="V33"/>
  <c r="AB33" s="1"/>
  <c r="V31"/>
  <c r="AB31" s="1"/>
  <c r="V29"/>
  <c r="AB29" s="1"/>
  <c r="V25"/>
  <c r="AB25" s="1"/>
  <c r="V22"/>
  <c r="AB22" s="1"/>
  <c r="V21"/>
  <c r="AB21" s="1"/>
  <c r="V20"/>
  <c r="AB20" s="1"/>
  <c r="V18"/>
  <c r="AB18" s="1"/>
  <c r="V16"/>
  <c r="AB16" s="1"/>
  <c r="V15"/>
  <c r="AB15" s="1"/>
  <c r="V14"/>
  <c r="AB14" s="1"/>
  <c r="V13"/>
  <c r="AB13" s="1"/>
  <c r="V27"/>
  <c r="AB27" s="1"/>
  <c r="V36"/>
  <c r="AB36" s="1"/>
  <c r="V11"/>
  <c r="AB11" s="1"/>
  <c r="V9"/>
  <c r="AB9" s="1"/>
  <c r="V8"/>
  <c r="AB8" s="1"/>
  <c r="V30"/>
  <c r="AB30" s="1"/>
  <c r="V17"/>
  <c r="AB17" s="1"/>
  <c r="V10"/>
  <c r="AB10" s="1"/>
  <c r="V34"/>
  <c r="AB34" s="1"/>
  <c r="V12"/>
  <c r="AB12" s="1"/>
  <c r="AB7"/>
  <c r="V32"/>
  <c r="AB32" s="1"/>
  <c r="V24"/>
  <c r="AB24" s="1"/>
  <c r="V19"/>
  <c r="AB19" s="1"/>
  <c r="U52"/>
  <c r="AA52" s="1"/>
  <c r="U51"/>
  <c r="AA51" s="1"/>
  <c r="U50"/>
  <c r="AA50" s="1"/>
  <c r="U49"/>
  <c r="AA49" s="1"/>
  <c r="U48"/>
  <c r="AA48" s="1"/>
  <c r="U47"/>
  <c r="AA47" s="1"/>
  <c r="U46"/>
  <c r="AA46" s="1"/>
  <c r="U45"/>
  <c r="AA45" s="1"/>
  <c r="U44"/>
  <c r="AA44" s="1"/>
  <c r="U43"/>
  <c r="AA43" s="1"/>
  <c r="U42"/>
  <c r="AA42" s="1"/>
  <c r="U41"/>
  <c r="AA41" s="1"/>
  <c r="U40"/>
  <c r="AA40" s="1"/>
  <c r="U39"/>
  <c r="AA39" s="1"/>
  <c r="U38"/>
  <c r="AA38" s="1"/>
  <c r="U37"/>
  <c r="AA37" s="1"/>
  <c r="U36"/>
  <c r="AA36" s="1"/>
  <c r="U35"/>
  <c r="AA35" s="1"/>
  <c r="U34"/>
  <c r="AA34" s="1"/>
  <c r="U33"/>
  <c r="AA33" s="1"/>
  <c r="U31"/>
  <c r="AA31" s="1"/>
  <c r="U30"/>
  <c r="AA30" s="1"/>
  <c r="U29"/>
  <c r="AA29" s="1"/>
  <c r="U28"/>
  <c r="AA28" s="1"/>
  <c r="U27"/>
  <c r="AA27" s="1"/>
  <c r="U26"/>
  <c r="AA26" s="1"/>
  <c r="U24"/>
  <c r="AA24" s="1"/>
  <c r="U19"/>
  <c r="AA19" s="1"/>
  <c r="U17"/>
  <c r="AA17" s="1"/>
  <c r="U23"/>
  <c r="AA23" s="1"/>
  <c r="U25"/>
  <c r="AA25" s="1"/>
  <c r="U22"/>
  <c r="AA22" s="1"/>
  <c r="U20"/>
  <c r="AA20" s="1"/>
  <c r="U18"/>
  <c r="AA18" s="1"/>
  <c r="U16"/>
  <c r="AA16" s="1"/>
  <c r="U15"/>
  <c r="AA15" s="1"/>
  <c r="U14"/>
  <c r="AA14" s="1"/>
  <c r="U13"/>
  <c r="AA13" s="1"/>
  <c r="U12"/>
  <c r="AA12" s="1"/>
  <c r="AA7"/>
  <c r="U11"/>
  <c r="AA11" s="1"/>
  <c r="U9"/>
  <c r="AA9" s="1"/>
  <c r="U8"/>
  <c r="AA8" s="1"/>
  <c r="U10"/>
  <c r="AA10" s="1"/>
  <c r="X36"/>
  <c r="X35"/>
  <c r="Y35" s="1"/>
  <c r="X33"/>
  <c r="X31"/>
  <c r="X29"/>
  <c r="X25"/>
  <c r="Y25" s="1"/>
  <c r="X27"/>
  <c r="X24"/>
  <c r="X19"/>
  <c r="X17"/>
  <c r="Y17" s="1"/>
  <c r="X34"/>
  <c r="X32"/>
  <c r="X30"/>
  <c r="X23"/>
  <c r="Y23" s="1"/>
  <c r="X28"/>
  <c r="X22"/>
  <c r="X18"/>
  <c r="X14"/>
  <c r="Y14" s="1"/>
  <c r="X10"/>
  <c r="X11"/>
  <c r="X15"/>
  <c r="X13"/>
  <c r="Y13" s="1"/>
  <c r="X20"/>
  <c r="X16"/>
  <c r="X12"/>
  <c r="X9"/>
  <c r="Y9" s="1"/>
  <c r="X8"/>
  <c r="X26"/>
  <c r="X21"/>
  <c r="Y52"/>
  <c r="Y51"/>
  <c r="Y50"/>
  <c r="Y49"/>
  <c r="Y48"/>
  <c r="Y47"/>
  <c r="Y46"/>
  <c r="Y45"/>
  <c r="Y44"/>
  <c r="Y43"/>
  <c r="Y42"/>
  <c r="Y41"/>
  <c r="Y40"/>
  <c r="Y39"/>
  <c r="Y38"/>
  <c r="Y37"/>
  <c r="Y36"/>
  <c r="Y34"/>
  <c r="Y33"/>
  <c r="Y32"/>
  <c r="Y31"/>
  <c r="Y30"/>
  <c r="Y29"/>
  <c r="Y28"/>
  <c r="Y27"/>
  <c r="Y26"/>
  <c r="Y24"/>
  <c r="Y19"/>
  <c r="Y22"/>
  <c r="Y21"/>
  <c r="Y20"/>
  <c r="Y18"/>
  <c r="Y16"/>
  <c r="Y15"/>
  <c r="Y10"/>
  <c r="Y12"/>
  <c r="Y8"/>
  <c r="Y11"/>
  <c r="S27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2"/>
  <c r="S31"/>
  <c r="S30"/>
  <c r="S29"/>
  <c r="S25"/>
  <c r="S22"/>
  <c r="S21"/>
  <c r="S20"/>
  <c r="S18"/>
  <c r="S16"/>
  <c r="S15"/>
  <c r="S11"/>
  <c r="S10"/>
  <c r="S26"/>
  <c r="S24"/>
  <c r="S17"/>
  <c r="S23"/>
  <c r="S13"/>
  <c r="S8"/>
  <c r="S9"/>
  <c r="S14"/>
  <c r="G26"/>
  <c r="J26" s="1"/>
  <c r="X6"/>
  <c r="F29"/>
  <c r="W6"/>
  <c r="M22" i="14" l="1"/>
  <c r="P22"/>
  <c r="F24"/>
  <c r="H23"/>
  <c r="M25" i="12"/>
  <c r="J23"/>
  <c r="U21"/>
  <c r="AA21" s="1"/>
  <c r="W7"/>
  <c r="AC6"/>
  <c r="U32"/>
  <c r="AA32" s="1"/>
  <c r="M26"/>
  <c r="J24"/>
  <c r="J25"/>
  <c r="M23"/>
  <c r="D26"/>
  <c r="D25"/>
  <c r="P23" i="14" l="1"/>
  <c r="M23"/>
  <c r="F25"/>
  <c r="H25" s="1"/>
  <c r="H24"/>
  <c r="W28" i="12"/>
  <c r="AC28" s="1"/>
  <c r="W27"/>
  <c r="AC27" s="1"/>
  <c r="W26"/>
  <c r="AC26" s="1"/>
  <c r="W52"/>
  <c r="AC52" s="1"/>
  <c r="W51"/>
  <c r="AC51" s="1"/>
  <c r="W50"/>
  <c r="AC50" s="1"/>
  <c r="W49"/>
  <c r="AC49" s="1"/>
  <c r="W48"/>
  <c r="AC48" s="1"/>
  <c r="W47"/>
  <c r="AC47" s="1"/>
  <c r="W46"/>
  <c r="AC46" s="1"/>
  <c r="W45"/>
  <c r="AC45" s="1"/>
  <c r="W44"/>
  <c r="AC44" s="1"/>
  <c r="W43"/>
  <c r="AC43" s="1"/>
  <c r="W42"/>
  <c r="AC42" s="1"/>
  <c r="W41"/>
  <c r="AC41" s="1"/>
  <c r="W40"/>
  <c r="AC40" s="1"/>
  <c r="W39"/>
  <c r="AC39" s="1"/>
  <c r="W38"/>
  <c r="AC38" s="1"/>
  <c r="W37"/>
  <c r="AC37" s="1"/>
  <c r="W36"/>
  <c r="AC36" s="1"/>
  <c r="W35"/>
  <c r="AC35" s="1"/>
  <c r="W34"/>
  <c r="AC34" s="1"/>
  <c r="W33"/>
  <c r="AC33" s="1"/>
  <c r="W32"/>
  <c r="AC32" s="1"/>
  <c r="W31"/>
  <c r="AC31" s="1"/>
  <c r="W30"/>
  <c r="AC30" s="1"/>
  <c r="W29"/>
  <c r="AC29" s="1"/>
  <c r="W25"/>
  <c r="AC25" s="1"/>
  <c r="W22"/>
  <c r="AC22" s="1"/>
  <c r="W21"/>
  <c r="AC21" s="1"/>
  <c r="W20"/>
  <c r="AC20" s="1"/>
  <c r="W18"/>
  <c r="AC18" s="1"/>
  <c r="W16"/>
  <c r="AC16" s="1"/>
  <c r="W15"/>
  <c r="AC15" s="1"/>
  <c r="W14"/>
  <c r="AC14" s="1"/>
  <c r="W12"/>
  <c r="AC12" s="1"/>
  <c r="W11"/>
  <c r="AC11" s="1"/>
  <c r="W10"/>
  <c r="AC10" s="1"/>
  <c r="W24"/>
  <c r="AC24" s="1"/>
  <c r="W19"/>
  <c r="AC19" s="1"/>
  <c r="W17"/>
  <c r="AC17" s="1"/>
  <c r="W23"/>
  <c r="AC23" s="1"/>
  <c r="W9"/>
  <c r="AC9" s="1"/>
  <c r="W8"/>
  <c r="AC8" s="1"/>
  <c r="W13"/>
  <c r="AC13" s="1"/>
  <c r="AC7"/>
  <c r="I25" i="14" l="1"/>
  <c r="M25"/>
  <c r="P25"/>
  <c r="P24"/>
  <c r="M24"/>
  <c r="Q25" l="1"/>
  <c r="N25"/>
  <c r="K25"/>
  <c r="J25"/>
  <c r="I24"/>
  <c r="K24" s="1"/>
  <c r="N24" l="1"/>
  <c r="Q24"/>
  <c r="J24"/>
  <c r="I23"/>
  <c r="I22" s="1"/>
  <c r="M19" i="10"/>
  <c r="L19"/>
  <c r="M9"/>
  <c r="L9"/>
  <c r="E19"/>
  <c r="D19"/>
  <c r="E9"/>
  <c r="D9"/>
  <c r="M10" i="11"/>
  <c r="M11"/>
  <c r="M12" s="1"/>
  <c r="M13" s="1"/>
  <c r="M14" s="1"/>
  <c r="M15" s="1"/>
  <c r="L10"/>
  <c r="L11" s="1"/>
  <c r="L12" s="1"/>
  <c r="L13" s="1"/>
  <c r="L14" s="1"/>
  <c r="L15" s="1"/>
  <c r="M27"/>
  <c r="M28" s="1"/>
  <c r="M29" s="1"/>
  <c r="M30" s="1"/>
  <c r="M31" s="1"/>
  <c r="L27"/>
  <c r="L28" s="1"/>
  <c r="L29" s="1"/>
  <c r="L30" s="1"/>
  <c r="L31" s="1"/>
  <c r="E27"/>
  <c r="E28" s="1"/>
  <c r="E29" s="1"/>
  <c r="E30" s="1"/>
  <c r="E31" s="1"/>
  <c r="D27"/>
  <c r="D28" s="1"/>
  <c r="D29" s="1"/>
  <c r="D30" s="1"/>
  <c r="D31" s="1"/>
  <c r="E11"/>
  <c r="E12"/>
  <c r="E13" s="1"/>
  <c r="E14" s="1"/>
  <c r="E15" s="1"/>
  <c r="D11"/>
  <c r="D12" s="1"/>
  <c r="D13" s="1"/>
  <c r="D14" s="1"/>
  <c r="D15" s="1"/>
  <c r="N22" i="14" l="1"/>
  <c r="Q22"/>
  <c r="J23"/>
  <c r="N23"/>
  <c r="Q23"/>
  <c r="K23"/>
  <c r="I21"/>
  <c r="J22"/>
  <c r="K22"/>
  <c r="G57" i="9"/>
  <c r="C57"/>
  <c r="G33"/>
  <c r="C33"/>
  <c r="Q21" i="14" l="1"/>
  <c r="N21"/>
  <c r="J21"/>
  <c r="J26" s="1"/>
  <c r="J5" s="1"/>
  <c r="L6" s="1"/>
  <c r="K21"/>
  <c r="K26" s="1"/>
  <c r="K3" i="8"/>
  <c r="E44" l="1"/>
  <c r="E16"/>
  <c r="E41"/>
  <c r="E13"/>
  <c r="E45"/>
  <c r="E17"/>
  <c r="E43"/>
  <c r="E15"/>
  <c r="E42" l="1"/>
  <c r="E14"/>
  <c r="F15"/>
  <c r="E27"/>
  <c r="K15"/>
  <c r="F45"/>
  <c r="F57" s="1"/>
  <c r="G57" s="1"/>
  <c r="K45"/>
  <c r="E57"/>
  <c r="F46"/>
  <c r="F44"/>
  <c r="E56"/>
  <c r="K44"/>
  <c r="K41"/>
  <c r="F41"/>
  <c r="E53"/>
  <c r="K17"/>
  <c r="F18"/>
  <c r="F17"/>
  <c r="F29" s="1"/>
  <c r="K16"/>
  <c r="E28"/>
  <c r="F16"/>
  <c r="K13"/>
  <c r="E25"/>
  <c r="F13"/>
  <c r="K43"/>
  <c r="F43"/>
  <c r="E55"/>
  <c r="F27" l="1"/>
  <c r="G27" s="1"/>
  <c r="H16"/>
  <c r="F55"/>
  <c r="G55" s="1"/>
  <c r="H44"/>
  <c r="L16"/>
  <c r="J28"/>
  <c r="L44"/>
  <c r="K56" s="1"/>
  <c r="L56" s="1"/>
  <c r="J56"/>
  <c r="L43"/>
  <c r="K55" s="1"/>
  <c r="L55" s="1"/>
  <c r="J55"/>
  <c r="F42"/>
  <c r="E54"/>
  <c r="K42"/>
  <c r="F14"/>
  <c r="E26"/>
  <c r="K14"/>
  <c r="L41"/>
  <c r="K53" s="1"/>
  <c r="L53" s="1"/>
  <c r="J53"/>
  <c r="L13"/>
  <c r="J25"/>
  <c r="L45"/>
  <c r="K57" s="1"/>
  <c r="L57" s="1"/>
  <c r="J57"/>
  <c r="F58"/>
  <c r="C42" i="9"/>
  <c r="F56" i="8"/>
  <c r="G56" s="1"/>
  <c r="C66" i="9" s="1"/>
  <c r="H45" i="8"/>
  <c r="F28"/>
  <c r="H17"/>
  <c r="J27"/>
  <c r="L15"/>
  <c r="H41"/>
  <c r="F53"/>
  <c r="G53" s="1"/>
  <c r="H14"/>
  <c r="F25"/>
  <c r="G25" s="1"/>
  <c r="H13"/>
  <c r="L18"/>
  <c r="K30" s="1"/>
  <c r="C36" i="9" s="1"/>
  <c r="J29" i="8"/>
  <c r="L17"/>
  <c r="C72" i="9"/>
  <c r="L46" i="8"/>
  <c r="E29"/>
  <c r="F30"/>
  <c r="G29"/>
  <c r="I14" l="1"/>
  <c r="I26" s="1"/>
  <c r="H26"/>
  <c r="I13"/>
  <c r="H25"/>
  <c r="L25"/>
  <c r="K25"/>
  <c r="H42"/>
  <c r="F54"/>
  <c r="G54" s="1"/>
  <c r="H43"/>
  <c r="L28"/>
  <c r="C60" i="9" s="1"/>
  <c r="K28" i="8"/>
  <c r="K29"/>
  <c r="L29" s="1"/>
  <c r="K27"/>
  <c r="L27" s="1"/>
  <c r="F26"/>
  <c r="G26" s="1"/>
  <c r="H15"/>
  <c r="I16"/>
  <c r="I28" s="1"/>
  <c r="H28"/>
  <c r="I44"/>
  <c r="I56" s="1"/>
  <c r="H56"/>
  <c r="C17" i="9" s="1"/>
  <c r="L42" i="8"/>
  <c r="K54" s="1"/>
  <c r="L54" s="1"/>
  <c r="J54"/>
  <c r="I41"/>
  <c r="H53"/>
  <c r="H57"/>
  <c r="C12" i="9" s="1"/>
  <c r="I45" i="8"/>
  <c r="I57" s="1"/>
  <c r="I17"/>
  <c r="H29"/>
  <c r="C48" i="9"/>
  <c r="K58" i="8"/>
  <c r="J26"/>
  <c r="L14"/>
  <c r="G28"/>
  <c r="C54" i="9" s="1"/>
  <c r="C30"/>
  <c r="M13" i="8" l="1"/>
  <c r="I25"/>
  <c r="I15"/>
  <c r="I27" s="1"/>
  <c r="H27"/>
  <c r="K26"/>
  <c r="L26" s="1"/>
  <c r="I43"/>
  <c r="I55" s="1"/>
  <c r="H55"/>
  <c r="I42"/>
  <c r="I54" s="1"/>
  <c r="H54"/>
  <c r="C22" i="9" s="1"/>
  <c r="C24" s="1"/>
  <c r="I53" i="8"/>
  <c r="M41"/>
  <c r="C14" i="9"/>
  <c r="C7"/>
  <c r="C9" s="1"/>
  <c r="I29" i="8"/>
  <c r="C19" i="9"/>
  <c r="M25" i="8" l="1"/>
  <c r="M14"/>
  <c r="M53"/>
  <c r="M42"/>
  <c r="M26" l="1"/>
  <c r="M15"/>
  <c r="M43"/>
  <c r="M54"/>
  <c r="M27" l="1"/>
  <c r="M16"/>
  <c r="M44"/>
  <c r="M55"/>
  <c r="M28" l="1"/>
  <c r="C61" i="9" s="1"/>
  <c r="M17" i="8"/>
  <c r="M29" s="1"/>
  <c r="C37" i="9" s="1"/>
  <c r="M45" i="8"/>
  <c r="M57" s="1"/>
  <c r="C49" i="9" s="1"/>
  <c r="M56" i="8"/>
  <c r="C73" i="9" s="1"/>
  <c r="G63" l="1"/>
  <c r="C63"/>
  <c r="C51"/>
  <c r="G51"/>
  <c r="C39"/>
  <c r="G39"/>
  <c r="G75"/>
  <c r="C75"/>
</calcChain>
</file>

<file path=xl/sharedStrings.xml><?xml version="1.0" encoding="utf-8"?>
<sst xmlns="http://schemas.openxmlformats.org/spreadsheetml/2006/main" count="659" uniqueCount="202">
  <si>
    <t>kN/m</t>
  </si>
  <si>
    <t>gd+qd</t>
  </si>
  <si>
    <t>Campata</t>
  </si>
  <si>
    <r>
      <t>gk+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 qk</t>
    </r>
  </si>
  <si>
    <t>21-14</t>
  </si>
  <si>
    <t>16-17</t>
  </si>
  <si>
    <t>PILASTRO</t>
  </si>
  <si>
    <t>Pilastri</t>
  </si>
  <si>
    <t>kN</t>
  </si>
  <si>
    <t>15 (centrale)</t>
  </si>
  <si>
    <t>7 (laterale)</t>
  </si>
  <si>
    <t>1 (angolo)</t>
  </si>
  <si>
    <t>piano</t>
  </si>
  <si>
    <t>torrino</t>
  </si>
  <si>
    <t>piano tipo</t>
  </si>
  <si>
    <t>Totale</t>
  </si>
  <si>
    <t>suolo</t>
  </si>
  <si>
    <t>C</t>
  </si>
  <si>
    <t>SLV</t>
  </si>
  <si>
    <t>T1</t>
  </si>
  <si>
    <t>SLD</t>
  </si>
  <si>
    <t>m</t>
  </si>
  <si>
    <t>s</t>
  </si>
  <si>
    <t>Spettri di risposta</t>
  </si>
  <si>
    <t>progetto</t>
  </si>
  <si>
    <t>Località</t>
  </si>
  <si>
    <t>Piazza Cairoli, Messina</t>
  </si>
  <si>
    <t>Parametri</t>
  </si>
  <si>
    <t>SLO</t>
  </si>
  <si>
    <t>SLC</t>
  </si>
  <si>
    <t>T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</si>
  <si>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</si>
  <si>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t>Pericolosità sismica</t>
  </si>
  <si>
    <t>stato limite</t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</si>
  <si>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</si>
  <si>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</si>
  <si>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</si>
  <si>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</si>
  <si>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h</t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</si>
  <si>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</si>
  <si>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</si>
  <si>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t>categoria topografica</t>
  </si>
  <si>
    <t>smorzamento</t>
  </si>
  <si>
    <t>Si ottiene:</t>
  </si>
  <si>
    <t>S</t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</si>
  <si>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</si>
  <si>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</si>
  <si>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</si>
  <si>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</si>
  <si>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</si>
  <si>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</si>
  <si>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periodo fondamentale T1</t>
  </si>
  <si>
    <t>SLV/SLO</t>
  </si>
  <si>
    <t>1.5 SLV/SLD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</si>
  <si>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</si>
  <si>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</si>
  <si>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fattore di comportamento q</t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</si>
  <si>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</si>
  <si>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t>z</t>
  </si>
  <si>
    <t>per SLV</t>
  </si>
  <si>
    <t>g</t>
  </si>
  <si>
    <t>per SLD</t>
  </si>
  <si>
    <t>W</t>
  </si>
  <si>
    <t>Wz</t>
  </si>
  <si>
    <t>Fi</t>
  </si>
  <si>
    <t>Vi</t>
  </si>
  <si>
    <t>Fh</t>
  </si>
  <si>
    <t>Caratteristiche della sollecitazione - prima previsione</t>
  </si>
  <si>
    <t>duttilità</t>
  </si>
  <si>
    <t>Sisma in direzione x</t>
  </si>
  <si>
    <t>Risoluzione dello schema base, traslante</t>
  </si>
  <si>
    <t>hi</t>
  </si>
  <si>
    <t>n.pil</t>
  </si>
  <si>
    <t>Incremento per eccentricità (solo telai eccentrici)</t>
  </si>
  <si>
    <t>Sisma in direzione y</t>
  </si>
  <si>
    <t>Valori a filo pilastro/trave</t>
  </si>
  <si>
    <t>Travi e pilastri che sono ritenuti più sollecitati</t>
  </si>
  <si>
    <t>e quindi usati per il dimensionamento</t>
  </si>
  <si>
    <t>Travi emergenti</t>
  </si>
  <si>
    <t>(le travi a spessore sono verificate per soli carichi verticali)</t>
  </si>
  <si>
    <t>sisma</t>
  </si>
  <si>
    <t>M =</t>
  </si>
  <si>
    <t>kNm</t>
  </si>
  <si>
    <t>perché la trave è molto lontana dal baricentro</t>
  </si>
  <si>
    <t>car.vert.</t>
  </si>
  <si>
    <t>al piano terra è quasi scarica</t>
  </si>
  <si>
    <t>TOT</t>
  </si>
  <si>
    <t>trave</t>
  </si>
  <si>
    <t>impalcato</t>
  </si>
  <si>
    <t>direzione</t>
  </si>
  <si>
    <t>y</t>
  </si>
  <si>
    <t>porta sbalzo laterale</t>
  </si>
  <si>
    <t>x</t>
  </si>
  <si>
    <t>perché la trave è vicina al baricentro</t>
  </si>
  <si>
    <t>porta due campate di solaio</t>
  </si>
  <si>
    <t>basterebbe 30x50</t>
  </si>
  <si>
    <t>pilastro</t>
  </si>
  <si>
    <t>ordine</t>
  </si>
  <si>
    <t>1 - piede</t>
  </si>
  <si>
    <t>perché il pilastro è abbastanza lontano dal baricentro</t>
  </si>
  <si>
    <t>perché è tra due travi emergenti</t>
  </si>
  <si>
    <t>N =</t>
  </si>
  <si>
    <t>perché ha una sola trave emergente</t>
  </si>
  <si>
    <t>d'angolo</t>
  </si>
  <si>
    <t>L =</t>
  </si>
  <si>
    <t>Stima momento</t>
  </si>
  <si>
    <t xml:space="preserve"> (q l^2 / 10)</t>
  </si>
  <si>
    <t>Carico</t>
  </si>
  <si>
    <t>17-18</t>
  </si>
  <si>
    <t>8-5</t>
  </si>
  <si>
    <t>a spessore</t>
  </si>
  <si>
    <t>copertura</t>
  </si>
  <si>
    <t>Sforzo normale</t>
  </si>
  <si>
    <t>16 (interno, scala)</t>
  </si>
  <si>
    <t>arrotondato</t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</si>
  <si>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</si>
  <si>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</si>
  <si>
    <t>posizione</t>
  </si>
  <si>
    <t>luce della trave di estremità</t>
  </si>
  <si>
    <t>- pilastri di estremità</t>
  </si>
  <si>
    <t>- pilastri con una sola trave emergente</t>
  </si>
  <si>
    <t>in funzione della distanza del telaio dal centro</t>
  </si>
  <si>
    <t>moltipl.ecc.</t>
  </si>
  <si>
    <t xml:space="preserve">perché è abbastanza lontano dal baricentro </t>
  </si>
  <si>
    <t>ha una sola trave emergente</t>
  </si>
  <si>
    <t>riduz.tra.</t>
  </si>
  <si>
    <t>Travi</t>
  </si>
  <si>
    <r>
      <t>S</t>
    </r>
    <r>
      <rPr>
        <vertAlign val="subscript"/>
        <sz val="9"/>
        <color theme="0" tint="-0.499984740745262"/>
        <rFont val="Arial"/>
        <family val="2"/>
      </rPr>
      <t>d</t>
    </r>
    <r>
      <rPr>
        <sz val="9"/>
        <color theme="0" tint="-0.499984740745262"/>
        <rFont val="Arial"/>
        <family val="2"/>
      </rPr>
      <t>(T)</t>
    </r>
  </si>
  <si>
    <t>Vi TOT</t>
  </si>
  <si>
    <r>
      <t xml:space="preserve">per un coefficiente che arriva fino a </t>
    </r>
    <r>
      <rPr>
        <b/>
        <sz val="11"/>
        <rFont val="Calibri"/>
        <family val="2"/>
        <scheme val="minor"/>
      </rPr>
      <t>1.20</t>
    </r>
  </si>
  <si>
    <t>MEd =</t>
  </si>
  <si>
    <t>NEd,min =</t>
  </si>
  <si>
    <t>NEd,max =</t>
  </si>
  <si>
    <r>
      <rPr>
        <sz val="1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Npil</t>
    </r>
  </si>
  <si>
    <t>riduz.</t>
  </si>
  <si>
    <t>pilastro con solo 1 trave emergente</t>
  </si>
  <si>
    <t>moltiplicare i valori della tabella riportata a fianco</t>
  </si>
  <si>
    <t>pilastro con 2 travi emergenti</t>
  </si>
  <si>
    <t>ordine/impalcato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</si>
  <si>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  <scheme val="minor"/>
      </rPr>
      <t>N =</t>
    </r>
  </si>
  <si>
    <t>perimetrale non d'angolo</t>
  </si>
  <si>
    <t xml:space="preserve">n.pilastri </t>
  </si>
  <si>
    <t>analisi statica</t>
  </si>
  <si>
    <t>6 schemi base</t>
  </si>
  <si>
    <t>Questi valori vanno confrontati con</t>
  </si>
  <si>
    <t>i risultati del telaio spaziale,</t>
  </si>
  <si>
    <t>l'inviluppo dei risultati del telaio spaziale,</t>
  </si>
  <si>
    <r>
      <t>M</t>
    </r>
    <r>
      <rPr>
        <sz val="8"/>
        <rFont val="Calibri"/>
        <family val="2"/>
        <scheme val="minor"/>
      </rPr>
      <t>pil ger.res.</t>
    </r>
  </si>
  <si>
    <r>
      <t>V</t>
    </r>
    <r>
      <rPr>
        <sz val="8"/>
        <rFont val="Calibri"/>
        <family val="2"/>
        <scheme val="minor"/>
      </rPr>
      <t>pil</t>
    </r>
  </si>
  <si>
    <r>
      <t>M</t>
    </r>
    <r>
      <rPr>
        <sz val="8"/>
        <rFont val="Calibri"/>
        <family val="2"/>
        <scheme val="minor"/>
      </rPr>
      <t>pil</t>
    </r>
  </si>
  <si>
    <r>
      <t>M</t>
    </r>
    <r>
      <rPr>
        <sz val="8"/>
        <rFont val="Calibri"/>
        <family val="2"/>
        <scheme val="minor"/>
      </rPr>
      <t>tra</t>
    </r>
  </si>
  <si>
    <r>
      <t>V</t>
    </r>
    <r>
      <rPr>
        <sz val="8"/>
        <rFont val="Calibri"/>
        <family val="2"/>
        <scheme val="minor"/>
      </rPr>
      <t>tra</t>
    </r>
  </si>
  <si>
    <r>
      <rPr>
        <sz val="1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N</t>
    </r>
    <r>
      <rPr>
        <sz val="8"/>
        <color theme="1"/>
        <rFont val="Calibri"/>
        <family val="2"/>
        <scheme val="minor"/>
      </rPr>
      <t>pil</t>
    </r>
  </si>
  <si>
    <r>
      <rPr>
        <sz val="1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N</t>
    </r>
    <r>
      <rPr>
        <sz val="8"/>
        <color theme="1"/>
        <rFont val="Calibri"/>
        <family val="2"/>
        <scheme val="minor"/>
      </rPr>
      <t>pil</t>
    </r>
    <r>
      <rPr>
        <sz val="11"/>
        <color theme="1"/>
        <rFont val="Calibri"/>
        <family val="2"/>
        <scheme val="minor"/>
      </rPr>
      <t xml:space="preserve"> è riferito solo a:</t>
    </r>
  </si>
  <si>
    <r>
      <t>L</t>
    </r>
    <r>
      <rPr>
        <sz val="8"/>
        <rFont val="Calibri"/>
        <family val="2"/>
        <scheme val="minor"/>
      </rPr>
      <t>tra</t>
    </r>
  </si>
  <si>
    <t>direzione x</t>
  </si>
  <si>
    <t>[kN/mm]</t>
  </si>
  <si>
    <t>k</t>
  </si>
  <si>
    <t>direzione y</t>
  </si>
  <si>
    <t>Valutazione del periodo con la formula di Rayleigh</t>
  </si>
  <si>
    <t>ag</t>
  </si>
  <si>
    <t>kx</t>
  </si>
  <si>
    <t>ky</t>
  </si>
  <si>
    <t>[m]</t>
  </si>
  <si>
    <t>[kN]</t>
  </si>
  <si>
    <t>Direzione x</t>
  </si>
  <si>
    <t/>
  </si>
  <si>
    <t>dr</t>
  </si>
  <si>
    <t>u</t>
  </si>
  <si>
    <t>[kNm]</t>
  </si>
  <si>
    <t>[mm]</t>
  </si>
  <si>
    <t>m u2</t>
  </si>
  <si>
    <t>F u</t>
  </si>
  <si>
    <t>[kN mm s2]</t>
  </si>
  <si>
    <t>[kN mm]</t>
  </si>
  <si>
    <t>Direzione y</t>
  </si>
  <si>
    <t>Tx</t>
  </si>
  <si>
    <t>Ty</t>
  </si>
  <si>
    <t>Sd, SLV</t>
  </si>
  <si>
    <t>Se, SLD</t>
  </si>
  <si>
    <t>[t]</t>
  </si>
  <si>
    <t>Rigidezze</t>
  </si>
  <si>
    <t>Rigidezze normalizzate</t>
  </si>
  <si>
    <t>30x70</t>
  </si>
  <si>
    <t>70x30</t>
  </si>
  <si>
    <t>Piano</t>
  </si>
  <si>
    <t>2 emerg.</t>
  </si>
  <si>
    <t>1 emerg.</t>
  </si>
  <si>
    <t>2 spess.</t>
  </si>
  <si>
    <t>1 spess.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</si>
  <si>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k</t>
    </r>
  </si>
  <si>
    <t>totale</t>
  </si>
  <si>
    <t>rapp.piano</t>
  </si>
  <si>
    <t>pilastri eq.</t>
  </si>
  <si>
    <t>altro</t>
  </si>
  <si>
    <t>var.</t>
  </si>
  <si>
    <t>CD</t>
  </si>
  <si>
    <t>Classe A</t>
  </si>
  <si>
    <t>I tagli di piano e le altezze sono presi dal foglio Rayleigh</t>
  </si>
  <si>
    <t>Il numero di pilastri è preso dal foglio Rigidezze</t>
  </si>
  <si>
    <t>necessaria 30x60</t>
  </si>
  <si>
    <t>oppure 30x50 molto sollecitata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</si>
</sst>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10"/>
      <name val="Arial"/>
      <family val="2"/>
    </font>
    <font>
      <vertAlign val="subscript"/>
      <sz val="9"/>
      <color theme="0" tint="-0.49998474074526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theme="0" tint="-0.499984740745262"/>
      <name val="Arial"/>
      <family val="2"/>
    </font>
    <font>
      <vertAlign val="subscript"/>
      <sz val="10"/>
      <color theme="0" tint="-0.499984740745262"/>
      <name val="Arial"/>
      <family val="2"/>
    </font>
    <font>
      <sz val="10"/>
      <color theme="0" tint="-0.499984740745262"/>
      <name val="Symbol"/>
      <family val="1"/>
      <charset val="2"/>
    </font>
    <font>
      <b/>
      <sz val="12"/>
      <color theme="1"/>
      <name val="Calibri"/>
      <family val="2"/>
      <scheme val="minor"/>
    </font>
    <font>
      <sz val="11"/>
      <name val="Symbol"/>
      <family val="1"/>
      <charset val="2"/>
    </font>
    <font>
      <b/>
      <sz val="1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66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164" fontId="7" fillId="0" borderId="0" xfId="1" applyNumberFormat="1" applyFont="1" applyAlignment="1">
      <alignment horizontal="center"/>
    </xf>
    <xf numFmtId="1" fontId="7" fillId="0" borderId="0" xfId="1" applyNumberFormat="1" applyFont="1" applyAlignment="1">
      <alignment horizontal="center"/>
    </xf>
    <xf numFmtId="2" fontId="7" fillId="0" borderId="0" xfId="1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65" fontId="3" fillId="2" borderId="0" xfId="0" applyNumberFormat="1" applyFont="1" applyFill="1" applyBorder="1" applyAlignment="1" applyProtection="1">
      <alignment horizontal="center" vertical="center"/>
      <protection locked="0"/>
    </xf>
    <xf numFmtId="9" fontId="3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165" fontId="3" fillId="3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2" fontId="8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0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15" fillId="0" borderId="0" xfId="1" applyFont="1"/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2" fontId="7" fillId="2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8" fillId="3" borderId="0" xfId="0" applyNumberFormat="1" applyFont="1" applyFill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9" fillId="0" borderId="0" xfId="0" applyFont="1"/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21" fillId="0" borderId="0" xfId="1" applyFont="1"/>
    <xf numFmtId="0" fontId="15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/>
    </xf>
    <xf numFmtId="0" fontId="7" fillId="0" borderId="0" xfId="1" quotePrefix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164" fontId="7" fillId="0" borderId="0" xfId="1" applyNumberFormat="1" applyFont="1" applyAlignment="1">
      <alignment horizontal="left"/>
    </xf>
    <xf numFmtId="0" fontId="7" fillId="0" borderId="0" xfId="1" applyFont="1" applyAlignment="1">
      <alignment horizontal="right"/>
    </xf>
    <xf numFmtId="0" fontId="21" fillId="0" borderId="0" xfId="1" applyFont="1" applyAlignment="1">
      <alignment horizontal="left"/>
    </xf>
    <xf numFmtId="164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Continuous"/>
    </xf>
    <xf numFmtId="164" fontId="22" fillId="0" borderId="0" xfId="1" applyNumberFormat="1" applyFont="1" applyAlignment="1">
      <alignment horizontal="center"/>
    </xf>
    <xf numFmtId="164" fontId="7" fillId="0" borderId="2" xfId="1" applyNumberFormat="1" applyFont="1" applyBorder="1" applyAlignment="1">
      <alignment horizontal="center"/>
    </xf>
    <xf numFmtId="0" fontId="7" fillId="0" borderId="2" xfId="1" applyFont="1" applyBorder="1"/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Continuous"/>
    </xf>
    <xf numFmtId="0" fontId="7" fillId="0" borderId="2" xfId="1" applyFont="1" applyBorder="1" applyAlignment="1">
      <alignment horizontal="center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24" fillId="0" borderId="0" xfId="1" applyFont="1"/>
    <xf numFmtId="0" fontId="25" fillId="0" borderId="0" xfId="1" applyFont="1"/>
    <xf numFmtId="2" fontId="7" fillId="0" borderId="0" xfId="1" applyNumberFormat="1" applyFont="1" applyAlignment="1">
      <alignment horizontal="center" vertical="center"/>
    </xf>
    <xf numFmtId="0" fontId="0" fillId="2" borderId="0" xfId="0" applyFill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164" fontId="0" fillId="2" borderId="0" xfId="0" applyNumberFormat="1" applyFont="1" applyFill="1" applyAlignment="1" applyProtection="1">
      <alignment horizontal="center"/>
      <protection locked="0"/>
    </xf>
    <xf numFmtId="2" fontId="0" fillId="2" borderId="0" xfId="0" applyNumberFormat="1" applyFont="1" applyFill="1" applyAlignment="1" applyProtection="1">
      <alignment horizontal="center"/>
      <protection locked="0"/>
    </xf>
    <xf numFmtId="165" fontId="0" fillId="2" borderId="0" xfId="0" applyNumberFormat="1" applyFont="1" applyFill="1" applyAlignment="1" applyProtection="1">
      <alignment horizontal="center"/>
      <protection locked="0"/>
    </xf>
    <xf numFmtId="0" fontId="0" fillId="2" borderId="0" xfId="0" applyNumberFormat="1" applyFont="1" applyFill="1" applyAlignment="1" applyProtection="1">
      <alignment horizontal="center"/>
      <protection locked="0"/>
    </xf>
    <xf numFmtId="164" fontId="0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165" fontId="0" fillId="0" borderId="0" xfId="0" applyNumberFormat="1" applyAlignment="1">
      <alignment horizontal="centerContinuous"/>
    </xf>
    <xf numFmtId="0" fontId="0" fillId="0" borderId="0" xfId="0" applyAlignment="1">
      <alignment horizontal="centerContinuous"/>
    </xf>
    <xf numFmtId="2" fontId="0" fillId="3" borderId="2" xfId="0" applyNumberFormat="1" applyFill="1" applyBorder="1" applyAlignment="1">
      <alignment horizontal="center"/>
    </xf>
    <xf numFmtId="0" fontId="4" fillId="0" borderId="0" xfId="0" applyFont="1"/>
    <xf numFmtId="0" fontId="26" fillId="0" borderId="0" xfId="0" applyFont="1" applyAlignment="1">
      <alignment horizontal="center"/>
    </xf>
    <xf numFmtId="2" fontId="0" fillId="2" borderId="0" xfId="0" applyNumberFormat="1" applyFill="1" applyAlignment="1" applyProtection="1">
      <alignment horizontal="center"/>
      <protection locked="0"/>
    </xf>
    <xf numFmtId="0" fontId="0" fillId="2" borderId="0" xfId="0" applyNumberFormat="1" applyFill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164" fontId="0" fillId="3" borderId="3" xfId="0" applyNumberFormat="1" applyFill="1" applyBorder="1" applyAlignment="1">
      <alignment horizontal="center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</cellXfs>
  <cellStyles count="2">
    <cellStyle name="Normale" xfId="0" builtinId="0"/>
    <cellStyle name="Normale 2" xfId="1"/>
  </cellStyles>
  <dxfs count="1">
    <dxf>
      <font>
        <color rgb="FFFF0000"/>
      </font>
    </dxf>
  </dxfs>
  <tableStyles count="0" defaultTableStyle="TableStyleMedium9" defaultPivotStyle="PivotStyleLight16"/>
  <colors>
    <mruColors>
      <color rgb="FFFFFF99"/>
      <color rgb="FF006600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strRef>
          <c:f>'Spettri di risposta'!$AE$7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759"/>
          <c:y val="1.7777777777777781E-2"/>
        </c:manualLayout>
      </c:layout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0.61099999999999999</c:v>
                </c:pt>
                <c:pt idx="1">
                  <c:v>0.61099999999999999</c:v>
                </c:pt>
                <c:pt idx="2">
                  <c:v>0.61099999999999999</c:v>
                </c:pt>
                <c:pt idx="3">
                  <c:v>0.61099999999999999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0.15815286613930676</c:v>
                </c:pt>
                <c:pt idx="1">
                  <c:v>0.21458445911663462</c:v>
                </c:pt>
                <c:pt idx="2">
                  <c:v>0.69895013179366716</c:v>
                </c:pt>
                <c:pt idx="3">
                  <c:v>0.90058030635901176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C83-4C0D-A659-9B5EAEA2E309}"/>
            </c:ext>
          </c:extLst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0.18399720371942338</c:v>
                </c:pt>
                <c:pt idx="2">
                  <c:v>0.55199161115827011</c:v>
                </c:pt>
                <c:pt idx="3">
                  <c:v>0.6321252241196611</c:v>
                </c:pt>
                <c:pt idx="4">
                  <c:v>0.71225883708105209</c:v>
                </c:pt>
                <c:pt idx="5">
                  <c:v>0.79239245004244319</c:v>
                </c:pt>
                <c:pt idx="6">
                  <c:v>0.87252606300383417</c:v>
                </c:pt>
                <c:pt idx="7">
                  <c:v>0.95265967596522527</c:v>
                </c:pt>
                <c:pt idx="8">
                  <c:v>1.0327932889266163</c:v>
                </c:pt>
                <c:pt idx="9">
                  <c:v>1.1129269018880072</c:v>
                </c:pt>
                <c:pt idx="10">
                  <c:v>1.1930605148493982</c:v>
                </c:pt>
                <c:pt idx="11">
                  <c:v>1.2731941278107892</c:v>
                </c:pt>
                <c:pt idx="12">
                  <c:v>1.3533277407721802</c:v>
                </c:pt>
                <c:pt idx="13">
                  <c:v>1.4334613537335712</c:v>
                </c:pt>
                <c:pt idx="14">
                  <c:v>1.5135949666949622</c:v>
                </c:pt>
                <c:pt idx="15">
                  <c:v>1.5937285796563534</c:v>
                </c:pt>
                <c:pt idx="16">
                  <c:v>1.6738621926177444</c:v>
                </c:pt>
                <c:pt idx="17">
                  <c:v>1.7539958055791354</c:v>
                </c:pt>
                <c:pt idx="18">
                  <c:v>1.8341294185405264</c:v>
                </c:pt>
                <c:pt idx="19">
                  <c:v>1.9142630315019173</c:v>
                </c:pt>
                <c:pt idx="20">
                  <c:v>1.9943966444633086</c:v>
                </c:pt>
                <c:pt idx="21">
                  <c:v>2.0745302574246995</c:v>
                </c:pt>
                <c:pt idx="22">
                  <c:v>2.1546638703860905</c:v>
                </c:pt>
                <c:pt idx="23">
                  <c:v>2.2347974833474815</c:v>
                </c:pt>
                <c:pt idx="24">
                  <c:v>2.3149310963088725</c:v>
                </c:pt>
                <c:pt idx="25">
                  <c:v>2.3950647092702635</c:v>
                </c:pt>
                <c:pt idx="26">
                  <c:v>2.4751983222316545</c:v>
                </c:pt>
                <c:pt idx="27">
                  <c:v>2.5553319351930455</c:v>
                </c:pt>
                <c:pt idx="28">
                  <c:v>2.6354655481544365</c:v>
                </c:pt>
                <c:pt idx="29">
                  <c:v>2.7155991611158274</c:v>
                </c:pt>
                <c:pt idx="30">
                  <c:v>2.7957327740772184</c:v>
                </c:pt>
                <c:pt idx="31">
                  <c:v>2.8758663870386094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0.40771089300000007</c:v>
                </c:pt>
                <c:pt idx="1">
                  <c:v>0.99685313338500015</c:v>
                </c:pt>
                <c:pt idx="2">
                  <c:v>0.99685313338500015</c:v>
                </c:pt>
                <c:pt idx="3">
                  <c:v>0.87048348363518735</c:v>
                </c:pt>
                <c:pt idx="4">
                  <c:v>0.7725485996641126</c:v>
                </c:pt>
                <c:pt idx="5">
                  <c:v>0.69442176935921418</c:v>
                </c:pt>
                <c:pt idx="6">
                  <c:v>0.63064542197284268</c:v>
                </c:pt>
                <c:pt idx="7">
                  <c:v>0.57759825577569845</c:v>
                </c:pt>
                <c:pt idx="8">
                  <c:v>0.5327828647659365</c:v>
                </c:pt>
                <c:pt idx="9">
                  <c:v>0.4944211216854274</c:v>
                </c:pt>
                <c:pt idx="10">
                  <c:v>0.46121262110062838</c:v>
                </c:pt>
                <c:pt idx="11">
                  <c:v>0.43218434264341038</c:v>
                </c:pt>
                <c:pt idx="12">
                  <c:v>0.40659372494011875</c:v>
                </c:pt>
                <c:pt idx="13">
                  <c:v>0.38386424981194761</c:v>
                </c:pt>
                <c:pt idx="14">
                  <c:v>0.36354148850459944</c:v>
                </c:pt>
                <c:pt idx="15">
                  <c:v>0.34526240804692376</c:v>
                </c:pt>
                <c:pt idx="16">
                  <c:v>0.32873349407863495</c:v>
                </c:pt>
                <c:pt idx="17">
                  <c:v>0.31371487060293896</c:v>
                </c:pt>
                <c:pt idx="18">
                  <c:v>0.30000858261311286</c:v>
                </c:pt>
                <c:pt idx="19">
                  <c:v>0.28744982174870204</c:v>
                </c:pt>
                <c:pt idx="20">
                  <c:v>0.27590026723767852</c:v>
                </c:pt>
                <c:pt idx="21">
                  <c:v>0.26524297016927412</c:v>
                </c:pt>
                <c:pt idx="22">
                  <c:v>0.25537837931387275</c:v>
                </c:pt>
                <c:pt idx="23">
                  <c:v>0.24622122196107682</c:v>
                </c:pt>
                <c:pt idx="24">
                  <c:v>0.23769803259489231</c:v>
                </c:pt>
                <c:pt idx="25">
                  <c:v>0.22974517767956656</c:v>
                </c:pt>
                <c:pt idx="26">
                  <c:v>0.22230726412631177</c:v>
                </c:pt>
                <c:pt idx="27">
                  <c:v>0.21533584721696306</c:v>
                </c:pt>
                <c:pt idx="28">
                  <c:v>0.20878837424783958</c:v>
                </c:pt>
                <c:pt idx="29">
                  <c:v>0.20262731520334504</c:v>
                </c:pt>
                <c:pt idx="30">
                  <c:v>0.19681944293369652</c:v>
                </c:pt>
                <c:pt idx="31">
                  <c:v>0.19133523367612865</c:v>
                </c:pt>
                <c:pt idx="32">
                  <c:v>0.18614836508300273</c:v>
                </c:pt>
                <c:pt idx="33">
                  <c:v>0.18577947231845296</c:v>
                </c:pt>
                <c:pt idx="34">
                  <c:v>0.18541167502812134</c:v>
                </c:pt>
                <c:pt idx="35">
                  <c:v>0.18504496887876312</c:v>
                </c:pt>
                <c:pt idx="36">
                  <c:v>0.18467934955853829</c:v>
                </c:pt>
                <c:pt idx="37">
                  <c:v>0.18431481277688466</c:v>
                </c:pt>
                <c:pt idx="38">
                  <c:v>0.18395135426439158</c:v>
                </c:pt>
                <c:pt idx="39">
                  <c:v>0.18358896977267558</c:v>
                </c:pt>
                <c:pt idx="40">
                  <c:v>0.18322765507425573</c:v>
                </c:pt>
                <c:pt idx="41">
                  <c:v>0.18286740596243051</c:v>
                </c:pt>
                <c:pt idx="42">
                  <c:v>0.18250821825115551</c:v>
                </c:pt>
                <c:pt idx="43">
                  <c:v>0.18215008777492162</c:v>
                </c:pt>
                <c:pt idx="44">
                  <c:v>0.18179301038863427</c:v>
                </c:pt>
                <c:pt idx="45">
                  <c:v>0.18143698196749364</c:v>
                </c:pt>
                <c:pt idx="46">
                  <c:v>0.18108199840687544</c:v>
                </c:pt>
                <c:pt idx="47">
                  <c:v>0.18072805562221256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6C83-4C0D-A659-9B5EAEA2E309}"/>
            </c:ext>
          </c:extLst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6C83-4C0D-A659-9B5EAEA2E309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6C83-4C0D-A659-9B5EAEA2E309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6C83-4C0D-A659-9B5EAEA2E309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6C83-4C0D-A659-9B5EAEA2E309}"/>
            </c:ext>
          </c:extLst>
        </c:ser>
        <c:axId val="63723008"/>
        <c:axId val="63724544"/>
      </c:scatterChart>
      <c:valAx>
        <c:axId val="63723008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3724544"/>
        <c:crosses val="autoZero"/>
        <c:crossBetween val="midCat"/>
      </c:valAx>
      <c:valAx>
        <c:axId val="63724544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3723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166"/>
          <c:y val="0.16817637795275567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0.61099999999999999</c:v>
                </c:pt>
                <c:pt idx="1">
                  <c:v>0.61099999999999999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0.69895013179366716</c:v>
                </c:pt>
                <c:pt idx="1">
                  <c:v>0.11947865500746449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C08-429E-8C39-AF01062C02D2}"/>
            </c:ext>
          </c:extLst>
        </c:ser>
        <c:ser>
          <c:idx val="1"/>
          <c:order val="1"/>
          <c:tx>
            <c:v>Se,SLV</c:v>
          </c:tx>
          <c:spPr>
            <a:ln w="95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CC08-429E-8C39-AF01062C02D2}"/>
            </c:ext>
          </c:extLst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risposta'!$AB$5:$AB$52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risposta'!$AC$5:$AC$52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0.13785405982905985</c:v>
                </c:pt>
                <c:pt idx="2">
                  <c:v>0.13785405982905985</c:v>
                </c:pt>
                <c:pt idx="3">
                  <c:v>0.12195958521672864</c:v>
                </c:pt>
                <c:pt idx="4">
                  <c:v>0.10935144206921339</c:v>
                </c:pt>
                <c:pt idx="5">
                  <c:v>9.910590510611636E-2</c:v>
                </c:pt>
                <c:pt idx="6">
                  <c:v>9.0615780838415719E-2</c:v>
                </c:pt>
                <c:pt idx="7">
                  <c:v>8.3465524045388637E-2</c:v>
                </c:pt>
                <c:pt idx="8">
                  <c:v>7.7361155445129795E-2</c:v>
                </c:pt>
                <c:pt idx="9">
                  <c:v>7.2088836876576232E-2</c:v>
                </c:pt>
                <c:pt idx="10">
                  <c:v>6.7489304813010048E-2</c:v>
                </c:pt>
                <c:pt idx="11">
                  <c:v>6.6924999999999998E-2</c:v>
                </c:pt>
                <c:pt idx="12">
                  <c:v>6.6924999999999998E-2</c:v>
                </c:pt>
                <c:pt idx="13">
                  <c:v>6.6924999999999998E-2</c:v>
                </c:pt>
                <c:pt idx="14">
                  <c:v>6.6924999999999998E-2</c:v>
                </c:pt>
                <c:pt idx="15">
                  <c:v>6.6924999999999998E-2</c:v>
                </c:pt>
                <c:pt idx="16">
                  <c:v>6.6924999999999998E-2</c:v>
                </c:pt>
                <c:pt idx="17">
                  <c:v>6.6924999999999998E-2</c:v>
                </c:pt>
                <c:pt idx="18">
                  <c:v>6.6924999999999998E-2</c:v>
                </c:pt>
                <c:pt idx="19">
                  <c:v>6.6924999999999998E-2</c:v>
                </c:pt>
                <c:pt idx="20">
                  <c:v>6.6924999999999998E-2</c:v>
                </c:pt>
                <c:pt idx="21">
                  <c:v>6.6924999999999998E-2</c:v>
                </c:pt>
                <c:pt idx="22">
                  <c:v>6.6924999999999998E-2</c:v>
                </c:pt>
                <c:pt idx="23">
                  <c:v>6.6924999999999998E-2</c:v>
                </c:pt>
                <c:pt idx="24">
                  <c:v>6.6924999999999998E-2</c:v>
                </c:pt>
                <c:pt idx="25">
                  <c:v>6.6924999999999998E-2</c:v>
                </c:pt>
                <c:pt idx="26">
                  <c:v>6.6924999999999998E-2</c:v>
                </c:pt>
                <c:pt idx="27">
                  <c:v>6.6924999999999998E-2</c:v>
                </c:pt>
                <c:pt idx="28">
                  <c:v>6.6924999999999998E-2</c:v>
                </c:pt>
                <c:pt idx="29">
                  <c:v>6.6924999999999998E-2</c:v>
                </c:pt>
                <c:pt idx="30">
                  <c:v>6.6924999999999998E-2</c:v>
                </c:pt>
                <c:pt idx="31">
                  <c:v>6.6924999999999998E-2</c:v>
                </c:pt>
                <c:pt idx="32">
                  <c:v>6.6924999999999998E-2</c:v>
                </c:pt>
                <c:pt idx="33">
                  <c:v>6.6924999999999998E-2</c:v>
                </c:pt>
                <c:pt idx="34">
                  <c:v>6.6924999999999998E-2</c:v>
                </c:pt>
                <c:pt idx="35">
                  <c:v>6.6924999999999998E-2</c:v>
                </c:pt>
                <c:pt idx="36">
                  <c:v>6.6924999999999998E-2</c:v>
                </c:pt>
                <c:pt idx="37">
                  <c:v>6.6924999999999998E-2</c:v>
                </c:pt>
                <c:pt idx="38">
                  <c:v>6.6924999999999998E-2</c:v>
                </c:pt>
                <c:pt idx="39">
                  <c:v>6.6924999999999998E-2</c:v>
                </c:pt>
                <c:pt idx="40">
                  <c:v>6.6924999999999998E-2</c:v>
                </c:pt>
                <c:pt idx="41">
                  <c:v>6.6924999999999998E-2</c:v>
                </c:pt>
                <c:pt idx="42">
                  <c:v>6.6924999999999998E-2</c:v>
                </c:pt>
                <c:pt idx="43">
                  <c:v>6.6924999999999998E-2</c:v>
                </c:pt>
                <c:pt idx="44">
                  <c:v>6.6924999999999998E-2</c:v>
                </c:pt>
                <c:pt idx="45">
                  <c:v>6.6924999999999998E-2</c:v>
                </c:pt>
                <c:pt idx="46">
                  <c:v>6.6924999999999998E-2</c:v>
                </c:pt>
                <c:pt idx="47">
                  <c:v>6.6924999999999998E-2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CC08-429E-8C39-AF01062C02D2}"/>
            </c:ext>
          </c:extLst>
        </c:ser>
        <c:ser>
          <c:idx val="2"/>
          <c:order val="3"/>
          <c:tx>
            <c:v>Se,SLD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CC08-429E-8C39-AF01062C02D2}"/>
            </c:ext>
          </c:extLst>
        </c:ser>
        <c:ser>
          <c:idx val="3"/>
          <c:order val="4"/>
          <c:tx>
            <c:v>Sd,SLD</c:v>
          </c:tx>
          <c:spPr>
            <a:ln w="9525">
              <a:solidFill>
                <a:schemeClr val="tx1">
                  <a:lumMod val="50000"/>
                  <a:lumOff val="50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0.123</c:v>
                </c:pt>
                <c:pt idx="1">
                  <c:v>0.18991199999999997</c:v>
                </c:pt>
                <c:pt idx="2">
                  <c:v>0.18991199999999997</c:v>
                </c:pt>
                <c:pt idx="3">
                  <c:v>0.1716640626886298</c:v>
                </c:pt>
                <c:pt idx="4">
                  <c:v>0.15661546546566105</c:v>
                </c:pt>
                <c:pt idx="5">
                  <c:v>0.1439926306787945</c:v>
                </c:pt>
                <c:pt idx="6">
                  <c:v>0.13325277341910446</c:v>
                </c:pt>
                <c:pt idx="7">
                  <c:v>0.12400380582964804</c:v>
                </c:pt>
                <c:pt idx="8">
                  <c:v>0.11595543271525387</c:v>
                </c:pt>
                <c:pt idx="9">
                  <c:v>0.10888813102741983</c:v>
                </c:pt>
                <c:pt idx="10">
                  <c:v>0.10263282158458353</c:v>
                </c:pt>
                <c:pt idx="11">
                  <c:v>9.7057166945630657E-2</c:v>
                </c:pt>
                <c:pt idx="12">
                  <c:v>9.2056105457562834E-2</c:v>
                </c:pt>
                <c:pt idx="13">
                  <c:v>8.7545168409067939E-2</c:v>
                </c:pt>
                <c:pt idx="14">
                  <c:v>8.3455670239250657E-2</c:v>
                </c:pt>
                <c:pt idx="15">
                  <c:v>7.9731186662825096E-2</c:v>
                </c:pt>
                <c:pt idx="16">
                  <c:v>7.6324935557986875E-2</c:v>
                </c:pt>
                <c:pt idx="17">
                  <c:v>7.3197801705273666E-2</c:v>
                </c:pt>
                <c:pt idx="18">
                  <c:v>7.031682798923948E-2</c:v>
                </c:pt>
                <c:pt idx="19">
                  <c:v>6.7654049413874054E-2</c:v>
                </c:pt>
                <c:pt idx="20">
                  <c:v>6.5185582374982814E-2</c:v>
                </c:pt>
                <c:pt idx="21">
                  <c:v>6.2890906290276674E-2</c:v>
                </c:pt>
                <c:pt idx="22">
                  <c:v>6.0752291799106593E-2</c:v>
                </c:pt>
                <c:pt idx="23">
                  <c:v>5.8754341790370986E-2</c:v>
                </c:pt>
                <c:pt idx="24">
                  <c:v>5.6883620111675325E-2</c:v>
                </c:pt>
                <c:pt idx="25">
                  <c:v>5.5128349020538293E-2</c:v>
                </c:pt>
                <c:pt idx="26">
                  <c:v>5.3478160973783044E-2</c:v>
                </c:pt>
                <c:pt idx="27">
                  <c:v>5.1923893700274427E-2</c:v>
                </c:pt>
                <c:pt idx="28">
                  <c:v>5.0457419999916701E-2</c:v>
                </c:pt>
                <c:pt idx="29">
                  <c:v>4.9071505592125871E-2</c:v>
                </c:pt>
                <c:pt idx="30">
                  <c:v>4.7759689764901525E-2</c:v>
                </c:pt>
                <c:pt idx="31">
                  <c:v>4.6516184668930212E-2</c:v>
                </c:pt>
                <c:pt idx="32">
                  <c:v>4.5335789944766162E-2</c:v>
                </c:pt>
                <c:pt idx="33">
                  <c:v>4.2152846773254711E-2</c:v>
                </c:pt>
                <c:pt idx="34">
                  <c:v>3.9293707646506158E-2</c:v>
                </c:pt>
                <c:pt idx="35">
                  <c:v>3.6715895677806816E-2</c:v>
                </c:pt>
                <c:pt idx="36">
                  <c:v>3.4383677436176173E-2</c:v>
                </c:pt>
                <c:pt idx="37">
                  <c:v>3.2266817902996223E-2</c:v>
                </c:pt>
                <c:pt idx="38">
                  <c:v>3.0339595587536086E-2</c:v>
                </c:pt>
                <c:pt idx="39">
                  <c:v>2.8580017478740005E-2</c:v>
                </c:pt>
                <c:pt idx="40">
                  <c:v>2.6969188801702237E-2</c:v>
                </c:pt>
                <c:pt idx="41">
                  <c:v>2.5490803649771628E-2</c:v>
                </c:pt>
                <c:pt idx="42">
                  <c:v>2.4130730705550427E-2</c:v>
                </c:pt>
                <c:pt idx="43">
                  <c:v>2.2876674291768127E-2</c:v>
                </c:pt>
                <c:pt idx="44">
                  <c:v>2.1717895494890796E-2</c:v>
                </c:pt>
                <c:pt idx="45">
                  <c:v>2.0644981494729434E-2</c:v>
                </c:pt>
                <c:pt idx="46">
                  <c:v>1.9649653806805199E-2</c:v>
                </c:pt>
                <c:pt idx="47">
                  <c:v>1.8724608112227297E-2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CC08-429E-8C39-AF01062C02D2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CC08-429E-8C39-AF01062C02D2}"/>
            </c:ext>
          </c:extLst>
        </c:ser>
        <c:axId val="63927040"/>
        <c:axId val="63928576"/>
      </c:scatterChart>
      <c:valAx>
        <c:axId val="63927040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3928576"/>
        <c:crosses val="autoZero"/>
        <c:crossBetween val="midCat"/>
      </c:valAx>
      <c:valAx>
        <c:axId val="63928576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63927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67"/>
          <c:w val="0.21282738095238124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222" l="0.70000000000000062" r="0.70000000000000062" t="0.750000000000002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activeCell="A2" sqref="A2"/>
    </sheetView>
  </sheetViews>
  <sheetFormatPr defaultRowHeight="15"/>
  <sheetData>
    <row r="1" spans="1:13" ht="15.75">
      <c r="A1" s="53" t="s">
        <v>126</v>
      </c>
    </row>
    <row r="3" spans="1:13">
      <c r="A3" s="3" t="s">
        <v>2</v>
      </c>
      <c r="B3" s="5" t="s">
        <v>5</v>
      </c>
      <c r="C3" s="45" t="s">
        <v>104</v>
      </c>
      <c r="D3" s="2">
        <v>3</v>
      </c>
      <c r="E3" t="s">
        <v>21</v>
      </c>
      <c r="I3" s="3" t="s">
        <v>2</v>
      </c>
      <c r="J3" s="5" t="s">
        <v>108</v>
      </c>
      <c r="K3" s="45" t="s">
        <v>104</v>
      </c>
      <c r="L3" s="2">
        <v>4.2</v>
      </c>
      <c r="M3" t="s">
        <v>21</v>
      </c>
    </row>
    <row r="4" spans="1:13">
      <c r="A4" t="s">
        <v>110</v>
      </c>
    </row>
    <row r="5" spans="1:13">
      <c r="D5" s="13" t="s">
        <v>1</v>
      </c>
      <c r="E5" s="13" t="s">
        <v>3</v>
      </c>
      <c r="L5" s="13" t="s">
        <v>1</v>
      </c>
      <c r="M5" s="13" t="s">
        <v>3</v>
      </c>
    </row>
    <row r="6" spans="1:13">
      <c r="A6" t="s">
        <v>107</v>
      </c>
      <c r="C6" s="1" t="s">
        <v>0</v>
      </c>
      <c r="D6" s="2">
        <v>35.856000000000002</v>
      </c>
      <c r="E6" s="2">
        <v>18.360000000000003</v>
      </c>
      <c r="I6" t="s">
        <v>107</v>
      </c>
      <c r="K6" s="1" t="s">
        <v>0</v>
      </c>
      <c r="L6" s="2">
        <v>52.760000000000005</v>
      </c>
      <c r="M6" s="2">
        <v>31.634</v>
      </c>
    </row>
    <row r="7" spans="1:13">
      <c r="C7" s="45" t="s">
        <v>114</v>
      </c>
      <c r="D7" s="1">
        <v>40</v>
      </c>
      <c r="E7" s="1">
        <v>24</v>
      </c>
      <c r="K7" s="45" t="s">
        <v>114</v>
      </c>
      <c r="L7" s="1">
        <v>60</v>
      </c>
      <c r="M7" s="1">
        <v>33</v>
      </c>
    </row>
    <row r="8" spans="1:13">
      <c r="A8" t="s">
        <v>105</v>
      </c>
      <c r="B8" s="12"/>
      <c r="I8" t="s">
        <v>105</v>
      </c>
      <c r="J8" s="12"/>
    </row>
    <row r="9" spans="1:13">
      <c r="A9" t="s">
        <v>106</v>
      </c>
      <c r="C9" s="1" t="s">
        <v>82</v>
      </c>
      <c r="D9" s="42">
        <f>D7*D3^2/10</f>
        <v>36</v>
      </c>
      <c r="E9" s="42">
        <f>E7*D3^2/10</f>
        <v>21.6</v>
      </c>
      <c r="I9" t="s">
        <v>106</v>
      </c>
      <c r="K9" s="1" t="s">
        <v>82</v>
      </c>
      <c r="L9" s="42">
        <f>L7*L3^2/10</f>
        <v>105.84</v>
      </c>
      <c r="M9" s="42">
        <f>M7*L3^2/10</f>
        <v>58.212000000000003</v>
      </c>
    </row>
    <row r="13" spans="1:13">
      <c r="A13" s="3" t="s">
        <v>2</v>
      </c>
      <c r="B13" s="5" t="s">
        <v>109</v>
      </c>
      <c r="C13" s="45" t="s">
        <v>104</v>
      </c>
      <c r="D13" s="2">
        <v>4</v>
      </c>
      <c r="E13" t="s">
        <v>21</v>
      </c>
      <c r="I13" s="3" t="s">
        <v>2</v>
      </c>
      <c r="J13" s="5" t="s">
        <v>4</v>
      </c>
      <c r="K13" s="45" t="s">
        <v>104</v>
      </c>
      <c r="L13" s="2">
        <v>4.3</v>
      </c>
      <c r="M13" t="s">
        <v>21</v>
      </c>
    </row>
    <row r="15" spans="1:13">
      <c r="D15" s="13" t="s">
        <v>1</v>
      </c>
      <c r="E15" s="13" t="s">
        <v>3</v>
      </c>
      <c r="L15" s="13" t="s">
        <v>1</v>
      </c>
      <c r="M15" s="13" t="s">
        <v>3</v>
      </c>
    </row>
    <row r="16" spans="1:13">
      <c r="A16" t="s">
        <v>107</v>
      </c>
      <c r="C16" s="1" t="s">
        <v>0</v>
      </c>
      <c r="D16" s="2">
        <v>56.46</v>
      </c>
      <c r="E16" s="2">
        <v>33.78</v>
      </c>
      <c r="I16" t="s">
        <v>107</v>
      </c>
      <c r="K16" s="1" t="s">
        <v>0</v>
      </c>
      <c r="L16" s="2">
        <v>53.353000000000009</v>
      </c>
      <c r="M16" s="2">
        <v>31.299999999999997</v>
      </c>
    </row>
    <row r="17" spans="1:13">
      <c r="C17" s="45" t="s">
        <v>114</v>
      </c>
      <c r="D17" s="1">
        <v>60</v>
      </c>
      <c r="E17" s="1">
        <v>33</v>
      </c>
      <c r="K17" s="45" t="s">
        <v>114</v>
      </c>
      <c r="L17" s="1">
        <v>60</v>
      </c>
      <c r="M17" s="1">
        <v>33</v>
      </c>
    </row>
    <row r="18" spans="1:13">
      <c r="A18" t="s">
        <v>105</v>
      </c>
      <c r="B18" s="12"/>
      <c r="I18" t="s">
        <v>105</v>
      </c>
      <c r="J18" s="12"/>
    </row>
    <row r="19" spans="1:13">
      <c r="A19" t="s">
        <v>106</v>
      </c>
      <c r="C19" s="1" t="s">
        <v>82</v>
      </c>
      <c r="D19" s="42">
        <f>D17*D13^2/10</f>
        <v>96</v>
      </c>
      <c r="E19" s="42">
        <f>E17*D13^2/10</f>
        <v>52.8</v>
      </c>
      <c r="I19" t="s">
        <v>106</v>
      </c>
      <c r="K19" s="1" t="s">
        <v>82</v>
      </c>
      <c r="L19" s="42">
        <f>L17*L13^2/10</f>
        <v>110.93999999999998</v>
      </c>
      <c r="M19" s="42">
        <f>M17*L13^2/10</f>
        <v>61.016999999999996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A2" sqref="A2"/>
    </sheetView>
  </sheetViews>
  <sheetFormatPr defaultRowHeight="15"/>
  <sheetData>
    <row r="1" spans="1:13" ht="15.75">
      <c r="A1" s="53" t="s">
        <v>7</v>
      </c>
    </row>
    <row r="3" spans="1:13">
      <c r="A3" s="3" t="s">
        <v>6</v>
      </c>
      <c r="B3" s="4" t="s">
        <v>9</v>
      </c>
      <c r="I3" s="3" t="s">
        <v>6</v>
      </c>
      <c r="J3" s="4" t="s">
        <v>113</v>
      </c>
    </row>
    <row r="5" spans="1:13">
      <c r="D5" s="13" t="s">
        <v>1</v>
      </c>
      <c r="E5" s="13" t="s">
        <v>3</v>
      </c>
      <c r="L5" s="13" t="s">
        <v>1</v>
      </c>
      <c r="M5" s="13" t="s">
        <v>3</v>
      </c>
    </row>
    <row r="6" spans="1:13">
      <c r="A6" t="s">
        <v>107</v>
      </c>
      <c r="B6" s="1" t="s">
        <v>111</v>
      </c>
      <c r="C6" s="1" t="s">
        <v>8</v>
      </c>
      <c r="D6" s="42">
        <v>223.76870250000005</v>
      </c>
      <c r="E6" s="42">
        <v>136.56344999999999</v>
      </c>
      <c r="I6" t="s">
        <v>107</v>
      </c>
      <c r="J6" s="1" t="s">
        <v>13</v>
      </c>
      <c r="K6" s="1" t="s">
        <v>8</v>
      </c>
      <c r="L6" s="42">
        <v>107.78255000000001</v>
      </c>
      <c r="M6" s="42">
        <v>79.188500000000005</v>
      </c>
    </row>
    <row r="7" spans="1:13">
      <c r="B7" s="1" t="s">
        <v>14</v>
      </c>
      <c r="C7" s="1" t="s">
        <v>8</v>
      </c>
      <c r="D7" s="42">
        <v>260.18610000000001</v>
      </c>
      <c r="E7" s="42">
        <v>160.73182500000001</v>
      </c>
      <c r="J7" s="1" t="s">
        <v>111</v>
      </c>
      <c r="K7" s="1" t="s">
        <v>8</v>
      </c>
      <c r="L7" s="42">
        <v>247.73097000000004</v>
      </c>
      <c r="M7" s="42">
        <v>150.98310000000001</v>
      </c>
    </row>
    <row r="8" spans="1:13">
      <c r="J8" s="1" t="s">
        <v>14</v>
      </c>
      <c r="K8" s="1" t="s">
        <v>8</v>
      </c>
      <c r="L8" s="42">
        <v>266.18270000000007</v>
      </c>
      <c r="M8" s="42">
        <v>163.51759999999999</v>
      </c>
    </row>
    <row r="9" spans="1:13">
      <c r="J9" s="1"/>
      <c r="K9" s="1"/>
      <c r="L9" s="42"/>
      <c r="M9" s="42"/>
    </row>
    <row r="10" spans="1:13">
      <c r="A10" t="s">
        <v>112</v>
      </c>
      <c r="I10" t="s">
        <v>112</v>
      </c>
      <c r="K10" s="1">
        <v>6</v>
      </c>
      <c r="L10" s="42">
        <f>L6</f>
        <v>107.78255000000001</v>
      </c>
      <c r="M10" s="42">
        <f>M6</f>
        <v>79.188500000000005</v>
      </c>
    </row>
    <row r="11" spans="1:13">
      <c r="C11" s="1">
        <v>5</v>
      </c>
      <c r="D11" s="42">
        <f>D6</f>
        <v>223.76870250000005</v>
      </c>
      <c r="E11" s="42">
        <f>E6</f>
        <v>136.56344999999999</v>
      </c>
      <c r="K11" s="1">
        <v>5</v>
      </c>
      <c r="L11" s="42">
        <f>L10+L7</f>
        <v>355.51352000000009</v>
      </c>
      <c r="M11" s="42">
        <f>M10+M7</f>
        <v>230.17160000000001</v>
      </c>
    </row>
    <row r="12" spans="1:13">
      <c r="C12" s="1">
        <v>4</v>
      </c>
      <c r="D12" s="42">
        <f>D11+D7</f>
        <v>483.95480250000003</v>
      </c>
      <c r="E12" s="42">
        <f>E11+E7</f>
        <v>297.295275</v>
      </c>
      <c r="K12" s="1">
        <v>4</v>
      </c>
      <c r="L12" s="42">
        <f>L11+L8</f>
        <v>621.69622000000015</v>
      </c>
      <c r="M12" s="42">
        <f>M11+M8</f>
        <v>393.68920000000003</v>
      </c>
    </row>
    <row r="13" spans="1:13">
      <c r="C13" s="1">
        <v>3</v>
      </c>
      <c r="D13" s="42">
        <f>D12+D7</f>
        <v>744.14090250000004</v>
      </c>
      <c r="E13" s="42">
        <f>E12+E7</f>
        <v>458.02710000000002</v>
      </c>
      <c r="K13" s="1">
        <v>3</v>
      </c>
      <c r="L13" s="42">
        <f>L12+L8</f>
        <v>887.87892000000022</v>
      </c>
      <c r="M13" s="42">
        <f>M12+M8</f>
        <v>557.20680000000004</v>
      </c>
    </row>
    <row r="14" spans="1:13">
      <c r="C14" s="1">
        <v>2</v>
      </c>
      <c r="D14" s="42">
        <f>D13+D7</f>
        <v>1004.3270025</v>
      </c>
      <c r="E14" s="42">
        <f>E13+E7</f>
        <v>618.75892500000009</v>
      </c>
      <c r="K14" s="1">
        <v>2</v>
      </c>
      <c r="L14" s="42">
        <f>L13+L8</f>
        <v>1154.0616200000004</v>
      </c>
      <c r="M14" s="42">
        <f>M13+M8</f>
        <v>720.72440000000006</v>
      </c>
    </row>
    <row r="15" spans="1:13">
      <c r="C15" s="1">
        <v>1</v>
      </c>
      <c r="D15" s="42">
        <f>D14+D7</f>
        <v>1264.5131025000001</v>
      </c>
      <c r="E15" s="42">
        <f>E14+E7</f>
        <v>779.49075000000016</v>
      </c>
      <c r="K15" s="1">
        <v>1</v>
      </c>
      <c r="L15" s="42">
        <f>L14+L8</f>
        <v>1420.2443200000005</v>
      </c>
      <c r="M15" s="42">
        <f>M14+M8</f>
        <v>884.24200000000008</v>
      </c>
    </row>
    <row r="19" spans="1:13">
      <c r="A19" s="3" t="s">
        <v>6</v>
      </c>
      <c r="B19" s="4" t="s">
        <v>10</v>
      </c>
      <c r="I19" s="3" t="s">
        <v>6</v>
      </c>
      <c r="J19" s="4" t="s">
        <v>11</v>
      </c>
    </row>
    <row r="21" spans="1:13">
      <c r="D21" s="13" t="s">
        <v>1</v>
      </c>
      <c r="E21" s="13" t="s">
        <v>3</v>
      </c>
      <c r="L21" s="13" t="s">
        <v>1</v>
      </c>
      <c r="M21" s="13" t="s">
        <v>3</v>
      </c>
    </row>
    <row r="22" spans="1:13">
      <c r="A22" t="s">
        <v>107</v>
      </c>
      <c r="B22" s="1" t="s">
        <v>111</v>
      </c>
      <c r="C22" s="1" t="s">
        <v>8</v>
      </c>
      <c r="D22" s="42">
        <v>117.72150000000002</v>
      </c>
      <c r="E22" s="42">
        <v>74.904000000000011</v>
      </c>
      <c r="I22" t="s">
        <v>107</v>
      </c>
      <c r="J22" s="1" t="s">
        <v>111</v>
      </c>
      <c r="K22" s="1" t="s">
        <v>8</v>
      </c>
      <c r="L22" s="42">
        <v>72.143550000000019</v>
      </c>
      <c r="M22" s="42">
        <v>48.271500000000003</v>
      </c>
    </row>
    <row r="23" spans="1:13">
      <c r="B23" s="1" t="s">
        <v>14</v>
      </c>
      <c r="C23" s="1" t="s">
        <v>8</v>
      </c>
      <c r="D23" s="42">
        <v>166.05810000000002</v>
      </c>
      <c r="E23" s="42">
        <v>110.39400000000001</v>
      </c>
      <c r="J23" s="1" t="s">
        <v>14</v>
      </c>
      <c r="K23" s="1" t="s">
        <v>8</v>
      </c>
      <c r="L23" s="42">
        <v>115.07400000000001</v>
      </c>
      <c r="M23" s="42">
        <v>80.51400000000001</v>
      </c>
    </row>
    <row r="26" spans="1:13">
      <c r="A26" t="s">
        <v>112</v>
      </c>
      <c r="I26" t="s">
        <v>112</v>
      </c>
    </row>
    <row r="27" spans="1:13">
      <c r="C27" s="1">
        <v>5</v>
      </c>
      <c r="D27" s="42">
        <f>D22</f>
        <v>117.72150000000002</v>
      </c>
      <c r="E27" s="42">
        <f>E22</f>
        <v>74.904000000000011</v>
      </c>
      <c r="K27" s="1">
        <v>5</v>
      </c>
      <c r="L27" s="42">
        <f>L22</f>
        <v>72.143550000000019</v>
      </c>
      <c r="M27" s="42">
        <f>M22</f>
        <v>48.271500000000003</v>
      </c>
    </row>
    <row r="28" spans="1:13">
      <c r="C28" s="1">
        <v>4</v>
      </c>
      <c r="D28" s="42">
        <f>D27+D23</f>
        <v>283.77960000000007</v>
      </c>
      <c r="E28" s="42">
        <f>E27+E23</f>
        <v>185.298</v>
      </c>
      <c r="K28" s="1">
        <v>4</v>
      </c>
      <c r="L28" s="42">
        <f>L27+L23</f>
        <v>187.21755000000002</v>
      </c>
      <c r="M28" s="42">
        <f>M27+M23</f>
        <v>128.78550000000001</v>
      </c>
    </row>
    <row r="29" spans="1:13">
      <c r="C29" s="1">
        <v>3</v>
      </c>
      <c r="D29" s="42">
        <f>D28+D23</f>
        <v>449.8377000000001</v>
      </c>
      <c r="E29" s="42">
        <f>E28+E23</f>
        <v>295.69200000000001</v>
      </c>
      <c r="K29" s="1">
        <v>3</v>
      </c>
      <c r="L29" s="42">
        <f>L28+L23</f>
        <v>302.29155000000003</v>
      </c>
      <c r="M29" s="42">
        <f>M28+M23</f>
        <v>209.29950000000002</v>
      </c>
    </row>
    <row r="30" spans="1:13">
      <c r="C30" s="1">
        <v>2</v>
      </c>
      <c r="D30" s="42">
        <f>D29+D23</f>
        <v>615.89580000000012</v>
      </c>
      <c r="E30" s="42">
        <f>E29+E23</f>
        <v>406.08600000000001</v>
      </c>
      <c r="K30" s="1">
        <v>2</v>
      </c>
      <c r="L30" s="42">
        <f>L29+L23</f>
        <v>417.36555000000004</v>
      </c>
      <c r="M30" s="42">
        <f>M29+M23</f>
        <v>289.81350000000003</v>
      </c>
    </row>
    <row r="31" spans="1:13">
      <c r="C31" s="1">
        <v>1</v>
      </c>
      <c r="D31" s="42">
        <f>D30+D23</f>
        <v>781.9539000000002</v>
      </c>
      <c r="E31" s="42">
        <f>E30+E23</f>
        <v>516.48</v>
      </c>
      <c r="K31" s="1">
        <v>1</v>
      </c>
      <c r="L31" s="42">
        <f>L30+L23</f>
        <v>532.43955000000005</v>
      </c>
      <c r="M31" s="42">
        <f>M30+M23</f>
        <v>370.32750000000004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53"/>
  <sheetViews>
    <sheetView workbookViewId="0">
      <selection activeCell="B11" sqref="B11"/>
    </sheetView>
  </sheetViews>
  <sheetFormatPr defaultColWidth="9.140625" defaultRowHeight="14.25"/>
  <cols>
    <col min="1" max="1" width="23.5703125" style="20" bestFit="1" customWidth="1"/>
    <col min="2" max="16" width="9.140625" style="16"/>
    <col min="17" max="17" width="6.5703125" style="17" customWidth="1"/>
    <col min="18" max="18" width="6.5703125" style="18" customWidth="1"/>
    <col min="19" max="19" width="6.5703125" style="19" customWidth="1"/>
    <col min="20" max="20" width="6.5703125" style="18" customWidth="1"/>
    <col min="21" max="21" width="6.5703125" style="19" customWidth="1"/>
    <col min="22" max="22" width="6.5703125" style="18" customWidth="1"/>
    <col min="23" max="23" width="6.5703125" style="19" customWidth="1"/>
    <col min="24" max="24" width="6.5703125" style="18" customWidth="1"/>
    <col min="25" max="27" width="6.5703125" style="19" customWidth="1"/>
    <col min="28" max="28" width="6.5703125" style="18" customWidth="1"/>
    <col min="29" max="29" width="6.5703125" style="19" customWidth="1"/>
    <col min="30" max="16384" width="9.140625" style="16"/>
  </cols>
  <sheetData>
    <row r="1" spans="1:37" ht="15" customHeight="1">
      <c r="A1" s="15" t="s">
        <v>23</v>
      </c>
    </row>
    <row r="2" spans="1:37" ht="15" customHeight="1">
      <c r="Z2" s="18" t="s">
        <v>24</v>
      </c>
      <c r="AB2" s="18" t="s">
        <v>24</v>
      </c>
    </row>
    <row r="3" spans="1:37" ht="15" customHeight="1">
      <c r="A3" s="21" t="s">
        <v>25</v>
      </c>
      <c r="B3" s="99" t="s">
        <v>26</v>
      </c>
      <c r="C3" s="100"/>
      <c r="D3" s="100"/>
      <c r="E3" s="100"/>
      <c r="R3" s="19" t="s">
        <v>28</v>
      </c>
      <c r="T3" s="19" t="s">
        <v>20</v>
      </c>
      <c r="V3" s="19" t="s">
        <v>18</v>
      </c>
      <c r="X3" s="19" t="s">
        <v>29</v>
      </c>
      <c r="Z3" s="19" t="s">
        <v>20</v>
      </c>
      <c r="AB3" s="19" t="s">
        <v>18</v>
      </c>
      <c r="AE3" s="46" t="s">
        <v>27</v>
      </c>
      <c r="AF3" s="46"/>
      <c r="AG3" s="46"/>
      <c r="AH3" s="46"/>
      <c r="AI3" s="46"/>
    </row>
    <row r="4" spans="1:37" ht="15" customHeight="1">
      <c r="A4" s="21"/>
      <c r="B4" s="22"/>
      <c r="C4" s="22"/>
      <c r="D4" s="22"/>
      <c r="E4" s="22"/>
      <c r="P4" s="20"/>
      <c r="R4" s="19" t="s">
        <v>30</v>
      </c>
      <c r="S4" s="19" t="s">
        <v>31</v>
      </c>
      <c r="T4" s="19" t="s">
        <v>30</v>
      </c>
      <c r="U4" s="19" t="s">
        <v>31</v>
      </c>
      <c r="V4" s="19" t="s">
        <v>30</v>
      </c>
      <c r="W4" s="19" t="s">
        <v>31</v>
      </c>
      <c r="X4" s="19" t="s">
        <v>30</v>
      </c>
      <c r="Y4" s="19" t="s">
        <v>31</v>
      </c>
      <c r="Z4" s="19" t="s">
        <v>30</v>
      </c>
      <c r="AA4" s="19" t="s">
        <v>127</v>
      </c>
      <c r="AB4" s="19" t="s">
        <v>30</v>
      </c>
      <c r="AC4" s="19" t="s">
        <v>127</v>
      </c>
      <c r="AE4" s="47" t="s">
        <v>115</v>
      </c>
      <c r="AF4" s="47">
        <f>IF(B14="A",1,IF(B14="B",1.4,IF(B14="C",1.7,IF(B14="D",2.4,2))))</f>
        <v>1.7</v>
      </c>
      <c r="AG4" s="47">
        <f>IF(B14="A",0,IF(B14="B",0.4,IF(B14="C",0.6,IF(B14="D",1.5,1.1))))</f>
        <v>0.6</v>
      </c>
      <c r="AH4" s="47">
        <f>IF(B14="A",1,IF(B14="B",1,IF(B14="C",1,IF(B14="D",0.9,1))))</f>
        <v>1</v>
      </c>
      <c r="AI4" s="47">
        <f>IF(B14="A",1,IF(B14="B",1.2,IF(B14="C",1.5,IF(B14="D",1.8,1.6))))</f>
        <v>1.5</v>
      </c>
      <c r="AJ4" s="20"/>
      <c r="AK4" s="20"/>
    </row>
    <row r="5" spans="1:37" ht="15" customHeight="1">
      <c r="A5" s="20" t="s">
        <v>32</v>
      </c>
      <c r="Q5" s="24">
        <v>0</v>
      </c>
      <c r="R5" s="25">
        <v>0</v>
      </c>
      <c r="S5" s="26">
        <f>C17</f>
        <v>9.1499999999999998E-2</v>
      </c>
      <c r="T5" s="25">
        <v>0</v>
      </c>
      <c r="U5" s="26">
        <f>C18</f>
        <v>0.123</v>
      </c>
      <c r="V5" s="25">
        <v>0</v>
      </c>
      <c r="W5" s="26">
        <f>C19</f>
        <v>0.33462500000000001</v>
      </c>
      <c r="X5" s="25">
        <v>0</v>
      </c>
      <c r="Y5" s="26">
        <f>C20</f>
        <v>0.40771089300000007</v>
      </c>
      <c r="Z5" s="26">
        <f>T5</f>
        <v>0</v>
      </c>
      <c r="AA5" s="26">
        <f>U5</f>
        <v>0.123</v>
      </c>
      <c r="AB5" s="25">
        <f>IF($B$29="",-1,V5)</f>
        <v>0</v>
      </c>
      <c r="AC5" s="25">
        <f>W5</f>
        <v>0.33462500000000001</v>
      </c>
      <c r="AE5" s="47" t="s">
        <v>116</v>
      </c>
      <c r="AF5" s="47">
        <f>IF(B14="A",1,IF(B14="B",1.1,IF(B14="C",1.05,IF(B14="D",1.25,1.15))))</f>
        <v>1.05</v>
      </c>
      <c r="AG5" s="47">
        <f>IF(B14="A",0,IF(B14="B",0.2,IF(B14="C",0.33,IF(B14="D",0.5,0.4))))</f>
        <v>0.33</v>
      </c>
      <c r="AH5" s="46"/>
      <c r="AI5" s="46"/>
    </row>
    <row r="6" spans="1:37" ht="15" customHeight="1">
      <c r="A6" s="21" t="s">
        <v>33</v>
      </c>
      <c r="B6" s="21" t="s">
        <v>34</v>
      </c>
      <c r="C6" s="21" t="s">
        <v>35</v>
      </c>
      <c r="D6" s="21" t="s">
        <v>36</v>
      </c>
      <c r="E6" s="21" t="s">
        <v>37</v>
      </c>
      <c r="N6" s="20">
        <v>0</v>
      </c>
      <c r="O6" s="27">
        <f>MAX(1,G20)</f>
        <v>1</v>
      </c>
      <c r="Q6" s="26" t="s">
        <v>39</v>
      </c>
      <c r="R6" s="25">
        <f>D17</f>
        <v>0.14916396716852898</v>
      </c>
      <c r="S6" s="26">
        <f>G17</f>
        <v>0.21593999999999999</v>
      </c>
      <c r="T6" s="25">
        <f>D18</f>
        <v>0.15341737754593213</v>
      </c>
      <c r="U6" s="26">
        <f>G18</f>
        <v>0.28486799999999995</v>
      </c>
      <c r="V6" s="25">
        <f>D19</f>
        <v>0.17651869980007165</v>
      </c>
      <c r="W6" s="26">
        <f>G19</f>
        <v>0.80644625000000003</v>
      </c>
      <c r="X6" s="25">
        <f>D20</f>
        <v>0.18399720371942338</v>
      </c>
      <c r="Y6" s="26">
        <f>G20</f>
        <v>0.99685313338500015</v>
      </c>
      <c r="Z6" s="26">
        <f t="shared" ref="Z6:Z52" si="0">T6</f>
        <v>0.15341737754593213</v>
      </c>
      <c r="AA6" s="26">
        <f>U6/1.5</f>
        <v>0.18991199999999997</v>
      </c>
      <c r="AB6" s="25">
        <f t="shared" ref="AB6:AB52" si="1">IF($B$29="",-1,V6)</f>
        <v>0.17651869980007165</v>
      </c>
      <c r="AC6" s="25">
        <f t="shared" ref="AC6:AC52" si="2">MAX(W6/$AF$6/$B$29,0.2*$C$19)</f>
        <v>0.13785405982905985</v>
      </c>
      <c r="AE6" s="48" t="s">
        <v>38</v>
      </c>
      <c r="AF6" s="49">
        <f>MAX(SQRT(10/(5+B13*100)),0.55)</f>
        <v>1</v>
      </c>
      <c r="AG6" s="46"/>
      <c r="AH6" s="46"/>
      <c r="AI6" s="46"/>
    </row>
    <row r="7" spans="1:37" ht="15" customHeight="1">
      <c r="A7" s="21" t="s">
        <v>28</v>
      </c>
      <c r="B7" s="28">
        <v>30</v>
      </c>
      <c r="C7" s="29">
        <v>6.0999999999999999E-2</v>
      </c>
      <c r="D7" s="29">
        <v>2.36</v>
      </c>
      <c r="E7" s="29">
        <v>0.28000000000000003</v>
      </c>
      <c r="Q7" s="26" t="s">
        <v>40</v>
      </c>
      <c r="R7" s="25">
        <f>E17</f>
        <v>0.44749190150558693</v>
      </c>
      <c r="S7" s="26">
        <f>S6</f>
        <v>0.21593999999999999</v>
      </c>
      <c r="T7" s="25">
        <f>E18</f>
        <v>0.46025213263779635</v>
      </c>
      <c r="U7" s="26">
        <f>U6</f>
        <v>0.28486799999999995</v>
      </c>
      <c r="V7" s="25">
        <f>E19</f>
        <v>0.52955609940021497</v>
      </c>
      <c r="W7" s="26">
        <f>W6</f>
        <v>0.80644625000000003</v>
      </c>
      <c r="X7" s="25">
        <f>E20</f>
        <v>0.55199161115827011</v>
      </c>
      <c r="Y7" s="26">
        <f>Y6</f>
        <v>0.99685313338500015</v>
      </c>
      <c r="Z7" s="26">
        <f t="shared" si="0"/>
        <v>0.46025213263779635</v>
      </c>
      <c r="AA7" s="26">
        <f t="shared" ref="AA7:AA52" si="3">U7/1.5</f>
        <v>0.18991199999999997</v>
      </c>
      <c r="AB7" s="25">
        <f t="shared" si="1"/>
        <v>0.52955609940021497</v>
      </c>
      <c r="AC7" s="25">
        <f t="shared" si="2"/>
        <v>0.13785405982905985</v>
      </c>
      <c r="AE7" s="46" t="str">
        <f>CONCATENATE(B3," - spettri elastici")</f>
        <v>Piazza Cairoli, Messina - spettri elastici</v>
      </c>
      <c r="AF7" s="46"/>
      <c r="AG7" s="46"/>
      <c r="AH7" s="46"/>
      <c r="AI7" s="46"/>
    </row>
    <row r="8" spans="1:37" ht="15" customHeight="1">
      <c r="A8" s="21" t="s">
        <v>20</v>
      </c>
      <c r="B8" s="28">
        <v>50</v>
      </c>
      <c r="C8" s="29">
        <v>8.2000000000000003E-2</v>
      </c>
      <c r="D8" s="29">
        <v>2.3159999999999998</v>
      </c>
      <c r="E8" s="29">
        <v>0.29199999999999998</v>
      </c>
      <c r="Q8" s="26"/>
      <c r="R8" s="25">
        <f t="shared" ref="R8:R36" si="4">R$7+(R$37-R$7)*(ROW(R8)-ROW(R$7))/30</f>
        <v>0.49404217145540069</v>
      </c>
      <c r="S8" s="26">
        <f>S$7*R$7/R8</f>
        <v>0.19559342662277115</v>
      </c>
      <c r="T8" s="25">
        <f t="shared" ref="T8:T36" si="5">T$7+(T$37-T$7)*(ROW(T8)-ROW(T$7))/30</f>
        <v>0.50917706154986986</v>
      </c>
      <c r="U8" s="26">
        <f>U$7*T$7/T8</f>
        <v>0.25749609403294471</v>
      </c>
      <c r="V8" s="25">
        <f t="shared" ref="V8:V36" si="6">V$7+(V$37-V$7)*(ROW(V8)-ROW(V$7))/30</f>
        <v>0.59857089608687453</v>
      </c>
      <c r="W8" s="26">
        <f>W$7*V$7/V8</f>
        <v>0.71346357351786249</v>
      </c>
      <c r="X8" s="25">
        <f t="shared" ref="X8:X36" si="7">X$7+(X$37-X$7)*(ROW(X8)-ROW(X$7))/30</f>
        <v>0.6321252241196611</v>
      </c>
      <c r="Y8" s="26">
        <f>Y$7*X$7/X8</f>
        <v>0.87048348363518735</v>
      </c>
      <c r="Z8" s="26">
        <f t="shared" si="0"/>
        <v>0.50917706154986986</v>
      </c>
      <c r="AA8" s="26">
        <f t="shared" si="3"/>
        <v>0.1716640626886298</v>
      </c>
      <c r="AB8" s="25">
        <f t="shared" si="1"/>
        <v>0.59857089608687453</v>
      </c>
      <c r="AC8" s="25">
        <f t="shared" si="2"/>
        <v>0.12195958521672864</v>
      </c>
    </row>
    <row r="9" spans="1:37" ht="15" customHeight="1">
      <c r="A9" s="21" t="s">
        <v>18</v>
      </c>
      <c r="B9" s="28">
        <v>475</v>
      </c>
      <c r="C9" s="29">
        <v>0.25</v>
      </c>
      <c r="D9" s="29">
        <v>2.41</v>
      </c>
      <c r="E9" s="29">
        <v>0.36</v>
      </c>
      <c r="Q9" s="26"/>
      <c r="R9" s="25">
        <f t="shared" si="4"/>
        <v>0.54059244140521445</v>
      </c>
      <c r="S9" s="26">
        <f t="shared" ref="S9:U37" si="8">S$7*R$7/R9</f>
        <v>0.17875092918416144</v>
      </c>
      <c r="T9" s="25">
        <f t="shared" si="5"/>
        <v>0.55810199046194331</v>
      </c>
      <c r="U9" s="26">
        <f t="shared" si="8"/>
        <v>0.23492319819849156</v>
      </c>
      <c r="V9" s="25">
        <f t="shared" si="6"/>
        <v>0.66758569277353397</v>
      </c>
      <c r="W9" s="26">
        <f t="shared" ref="W9:W37" si="9">W$7*V$7/V9</f>
        <v>0.63970593610489834</v>
      </c>
      <c r="X9" s="25">
        <f t="shared" si="7"/>
        <v>0.71225883708105209</v>
      </c>
      <c r="Y9" s="26">
        <f t="shared" ref="Y9:Y37" si="10">Y$7*X$7/X9</f>
        <v>0.7725485996641126</v>
      </c>
      <c r="Z9" s="26">
        <f t="shared" si="0"/>
        <v>0.55810199046194331</v>
      </c>
      <c r="AA9" s="26">
        <f t="shared" si="3"/>
        <v>0.15661546546566105</v>
      </c>
      <c r="AB9" s="25">
        <f t="shared" si="1"/>
        <v>0.66758569277353397</v>
      </c>
      <c r="AC9" s="25">
        <f t="shared" si="2"/>
        <v>0.10935144206921339</v>
      </c>
    </row>
    <row r="10" spans="1:37" ht="15" customHeight="1">
      <c r="A10" s="21" t="s">
        <v>29</v>
      </c>
      <c r="B10" s="28">
        <v>975</v>
      </c>
      <c r="C10" s="29">
        <v>0.33900000000000002</v>
      </c>
      <c r="D10" s="29">
        <v>2.4449999999999998</v>
      </c>
      <c r="E10" s="29">
        <v>0.38300000000000001</v>
      </c>
      <c r="Q10" s="26"/>
      <c r="R10" s="25">
        <f t="shared" si="4"/>
        <v>0.58714271135502827</v>
      </c>
      <c r="S10" s="26">
        <f t="shared" si="8"/>
        <v>0.16457906969177416</v>
      </c>
      <c r="T10" s="25">
        <f t="shared" si="5"/>
        <v>0.60702691937401676</v>
      </c>
      <c r="U10" s="26">
        <f t="shared" si="8"/>
        <v>0.21598894601819177</v>
      </c>
      <c r="V10" s="25">
        <f t="shared" si="6"/>
        <v>0.73660048946019341</v>
      </c>
      <c r="W10" s="26">
        <f t="shared" si="9"/>
        <v>0.5797695448707807</v>
      </c>
      <c r="X10" s="25">
        <f t="shared" si="7"/>
        <v>0.79239245004244319</v>
      </c>
      <c r="Y10" s="26">
        <f t="shared" si="10"/>
        <v>0.69442176935921418</v>
      </c>
      <c r="Z10" s="26">
        <f t="shared" si="0"/>
        <v>0.60702691937401676</v>
      </c>
      <c r="AA10" s="26">
        <f t="shared" si="3"/>
        <v>0.1439926306787945</v>
      </c>
      <c r="AB10" s="25">
        <f t="shared" si="1"/>
        <v>0.73660048946019341</v>
      </c>
      <c r="AC10" s="25">
        <f t="shared" si="2"/>
        <v>9.910590510611636E-2</v>
      </c>
    </row>
    <row r="11" spans="1:37" ht="15" customHeight="1">
      <c r="A11" s="21"/>
      <c r="B11" s="22"/>
      <c r="C11" s="22"/>
      <c r="D11" s="22"/>
      <c r="E11" s="22"/>
      <c r="Q11" s="26"/>
      <c r="R11" s="25">
        <f t="shared" si="4"/>
        <v>0.63369298130484197</v>
      </c>
      <c r="S11" s="26">
        <f t="shared" si="8"/>
        <v>0.15248930327765661</v>
      </c>
      <c r="T11" s="25">
        <f t="shared" si="5"/>
        <v>0.65595184828609021</v>
      </c>
      <c r="U11" s="26">
        <f t="shared" si="8"/>
        <v>0.1998791601286567</v>
      </c>
      <c r="V11" s="25">
        <f t="shared" si="6"/>
        <v>0.80561528614685296</v>
      </c>
      <c r="W11" s="26">
        <f t="shared" si="9"/>
        <v>0.53010231790473195</v>
      </c>
      <c r="X11" s="25">
        <f t="shared" si="7"/>
        <v>0.87252606300383417</v>
      </c>
      <c r="Y11" s="26">
        <f t="shared" si="10"/>
        <v>0.63064542197284268</v>
      </c>
      <c r="Z11" s="26">
        <f t="shared" si="0"/>
        <v>0.65595184828609021</v>
      </c>
      <c r="AA11" s="26">
        <f t="shared" si="3"/>
        <v>0.13325277341910446</v>
      </c>
      <c r="AB11" s="25">
        <f t="shared" si="1"/>
        <v>0.80561528614685296</v>
      </c>
      <c r="AC11" s="25">
        <f t="shared" si="2"/>
        <v>9.0615780838415719E-2</v>
      </c>
    </row>
    <row r="12" spans="1:37" ht="15" customHeight="1">
      <c r="A12" s="21" t="s">
        <v>41</v>
      </c>
      <c r="B12" s="28" t="s">
        <v>19</v>
      </c>
      <c r="C12" s="22"/>
      <c r="D12" s="21" t="s">
        <v>117</v>
      </c>
      <c r="E12" s="30">
        <v>0</v>
      </c>
      <c r="Q12" s="26"/>
      <c r="R12" s="25">
        <f t="shared" si="4"/>
        <v>0.68024325125465579</v>
      </c>
      <c r="S12" s="26">
        <f t="shared" si="8"/>
        <v>0.14205418581204199</v>
      </c>
      <c r="T12" s="25">
        <f t="shared" si="5"/>
        <v>0.70487677719816366</v>
      </c>
      <c r="U12" s="26">
        <f t="shared" si="8"/>
        <v>0.18600570874447206</v>
      </c>
      <c r="V12" s="25">
        <f t="shared" si="6"/>
        <v>0.87463008283351251</v>
      </c>
      <c r="W12" s="26">
        <f t="shared" si="9"/>
        <v>0.48827331566552351</v>
      </c>
      <c r="X12" s="25">
        <f t="shared" si="7"/>
        <v>0.95265967596522527</v>
      </c>
      <c r="Y12" s="26">
        <f t="shared" si="10"/>
        <v>0.57759825577569845</v>
      </c>
      <c r="Z12" s="26">
        <f t="shared" si="0"/>
        <v>0.70487677719816366</v>
      </c>
      <c r="AA12" s="26">
        <f t="shared" si="3"/>
        <v>0.12400380582964804</v>
      </c>
      <c r="AB12" s="25">
        <f t="shared" si="1"/>
        <v>0.87463008283351251</v>
      </c>
      <c r="AC12" s="25">
        <f t="shared" si="2"/>
        <v>8.3465524045388637E-2</v>
      </c>
    </row>
    <row r="13" spans="1:37" ht="15" customHeight="1">
      <c r="A13" s="20" t="s">
        <v>42</v>
      </c>
      <c r="B13" s="30">
        <v>0.05</v>
      </c>
      <c r="E13" s="50" t="str">
        <f>IF(OR(E12&lt;0,E12&gt;1),"errore","")</f>
        <v/>
      </c>
      <c r="Q13" s="26"/>
      <c r="R13" s="25">
        <f t="shared" si="4"/>
        <v>0.72679352120446961</v>
      </c>
      <c r="S13" s="26">
        <f t="shared" si="8"/>
        <v>0.13295578233963234</v>
      </c>
      <c r="T13" s="25">
        <f t="shared" si="5"/>
        <v>0.75380170611023711</v>
      </c>
      <c r="U13" s="26">
        <f t="shared" si="8"/>
        <v>0.17393314907288079</v>
      </c>
      <c r="V13" s="25">
        <f t="shared" si="6"/>
        <v>0.94364487952017195</v>
      </c>
      <c r="W13" s="26">
        <f t="shared" si="9"/>
        <v>0.45256275935400925</v>
      </c>
      <c r="X13" s="25">
        <f t="shared" si="7"/>
        <v>1.0327932889266163</v>
      </c>
      <c r="Y13" s="26">
        <f t="shared" si="10"/>
        <v>0.5327828647659365</v>
      </c>
      <c r="Z13" s="26">
        <f t="shared" si="0"/>
        <v>0.75380170611023711</v>
      </c>
      <c r="AA13" s="26">
        <f t="shared" si="3"/>
        <v>0.11595543271525387</v>
      </c>
      <c r="AB13" s="25">
        <f t="shared" si="1"/>
        <v>0.94364487952017195</v>
      </c>
      <c r="AC13" s="25">
        <f t="shared" si="2"/>
        <v>7.7361155445129795E-2</v>
      </c>
    </row>
    <row r="14" spans="1:37" ht="15" customHeight="1">
      <c r="A14" s="20" t="s">
        <v>16</v>
      </c>
      <c r="B14" s="31" t="s">
        <v>17</v>
      </c>
      <c r="Q14" s="26"/>
      <c r="R14" s="25">
        <f t="shared" si="4"/>
        <v>0.77334379115428331</v>
      </c>
      <c r="S14" s="26">
        <f t="shared" si="8"/>
        <v>0.12495270837680821</v>
      </c>
      <c r="T14" s="25">
        <f t="shared" si="5"/>
        <v>0.80272663502231056</v>
      </c>
      <c r="U14" s="26">
        <f t="shared" si="8"/>
        <v>0.16333219654112974</v>
      </c>
      <c r="V14" s="25">
        <f t="shared" si="6"/>
        <v>1.0126596762068316</v>
      </c>
      <c r="W14" s="26">
        <f t="shared" si="9"/>
        <v>0.42171969572797097</v>
      </c>
      <c r="X14" s="25">
        <f t="shared" si="7"/>
        <v>1.1129269018880072</v>
      </c>
      <c r="Y14" s="26">
        <f t="shared" si="10"/>
        <v>0.4944211216854274</v>
      </c>
      <c r="Z14" s="26">
        <f t="shared" si="0"/>
        <v>0.80272663502231056</v>
      </c>
      <c r="AA14" s="26">
        <f t="shared" si="3"/>
        <v>0.10888813102741983</v>
      </c>
      <c r="AB14" s="25">
        <f t="shared" si="1"/>
        <v>1.0126596762068316</v>
      </c>
      <c r="AC14" s="25">
        <f t="shared" si="2"/>
        <v>7.2088836876576232E-2</v>
      </c>
    </row>
    <row r="15" spans="1:37" ht="15" customHeight="1">
      <c r="Q15" s="26"/>
      <c r="R15" s="25">
        <f t="shared" si="4"/>
        <v>0.81989406110409713</v>
      </c>
      <c r="S15" s="26">
        <f t="shared" si="8"/>
        <v>0.11785839878019036</v>
      </c>
      <c r="T15" s="25">
        <f t="shared" si="5"/>
        <v>0.85165156393438401</v>
      </c>
      <c r="U15" s="26">
        <f t="shared" si="8"/>
        <v>0.1539492323768753</v>
      </c>
      <c r="V15" s="25">
        <f t="shared" si="6"/>
        <v>1.0816744728934911</v>
      </c>
      <c r="W15" s="26">
        <f t="shared" si="9"/>
        <v>0.39481243315610876</v>
      </c>
      <c r="X15" s="25">
        <f t="shared" si="7"/>
        <v>1.1930605148493982</v>
      </c>
      <c r="Y15" s="26">
        <f t="shared" si="10"/>
        <v>0.46121262110062838</v>
      </c>
      <c r="Z15" s="26">
        <f t="shared" si="0"/>
        <v>0.85165156393438401</v>
      </c>
      <c r="AA15" s="26">
        <f t="shared" si="3"/>
        <v>0.10263282158458353</v>
      </c>
      <c r="AB15" s="25">
        <f t="shared" si="1"/>
        <v>1.0816744728934911</v>
      </c>
      <c r="AC15" s="25">
        <f t="shared" si="2"/>
        <v>6.7489304813010048E-2</v>
      </c>
    </row>
    <row r="16" spans="1:37" ht="15" customHeight="1">
      <c r="A16" s="20" t="s">
        <v>43</v>
      </c>
      <c r="B16" s="23" t="s">
        <v>44</v>
      </c>
      <c r="C16" s="20" t="s">
        <v>45</v>
      </c>
      <c r="D16" s="20" t="s">
        <v>46</v>
      </c>
      <c r="E16" s="20" t="s">
        <v>47</v>
      </c>
      <c r="F16" s="20" t="s">
        <v>48</v>
      </c>
      <c r="G16" s="20" t="s">
        <v>49</v>
      </c>
      <c r="Q16" s="26"/>
      <c r="R16" s="25">
        <f t="shared" si="4"/>
        <v>0.86644433105391094</v>
      </c>
      <c r="S16" s="26">
        <f t="shared" si="8"/>
        <v>0.11152638172792655</v>
      </c>
      <c r="T16" s="25">
        <f t="shared" si="5"/>
        <v>0.90057649284645747</v>
      </c>
      <c r="U16" s="26">
        <f t="shared" si="8"/>
        <v>0.14558575041844599</v>
      </c>
      <c r="V16" s="25">
        <f t="shared" si="6"/>
        <v>1.1506892695801505</v>
      </c>
      <c r="W16" s="26">
        <f t="shared" si="9"/>
        <v>0.37113279997974652</v>
      </c>
      <c r="X16" s="25">
        <f t="shared" si="7"/>
        <v>1.2731941278107892</v>
      </c>
      <c r="Y16" s="26">
        <f t="shared" si="10"/>
        <v>0.43218434264341038</v>
      </c>
      <c r="Z16" s="26">
        <f t="shared" si="0"/>
        <v>0.90057649284645747</v>
      </c>
      <c r="AA16" s="26">
        <f t="shared" si="3"/>
        <v>9.7057166945630657E-2</v>
      </c>
      <c r="AB16" s="25">
        <f t="shared" si="1"/>
        <v>1.1506892695801505</v>
      </c>
      <c r="AC16" s="25">
        <f t="shared" si="2"/>
        <v>6.6924999999999998E-2</v>
      </c>
    </row>
    <row r="17" spans="1:29" ht="15" customHeight="1">
      <c r="A17" s="23" t="s">
        <v>28</v>
      </c>
      <c r="B17" s="32">
        <f>MAX($AH$4,MIN($AI$4,$AF$4-$AG$4*D7*C7))*IF($B$12="T1",1,IF($B$12="T4",1+0.4*$E$12,1+0.2*$E$12))</f>
        <v>1.5</v>
      </c>
      <c r="C17" s="32">
        <f>B17*C7</f>
        <v>9.1499999999999998E-2</v>
      </c>
      <c r="D17" s="32">
        <f>E17/3</f>
        <v>0.14916396716852898</v>
      </c>
      <c r="E17" s="32">
        <f>$AF$5*E7^(-$AG$5)*E7</f>
        <v>0.44749190150558693</v>
      </c>
      <c r="F17" s="32">
        <f>4*C7+1.6</f>
        <v>1.8440000000000001</v>
      </c>
      <c r="G17" s="32">
        <f>C17*D7*$AF$6</f>
        <v>0.21593999999999999</v>
      </c>
      <c r="Q17" s="26"/>
      <c r="R17" s="25">
        <f t="shared" si="4"/>
        <v>0.91299460100372465</v>
      </c>
      <c r="S17" s="26">
        <f t="shared" si="8"/>
        <v>0.10584005765738611</v>
      </c>
      <c r="T17" s="25">
        <f t="shared" si="5"/>
        <v>0.94950142175853092</v>
      </c>
      <c r="U17" s="26">
        <f t="shared" si="8"/>
        <v>0.13808415818634426</v>
      </c>
      <c r="V17" s="25">
        <f t="shared" si="6"/>
        <v>1.2197040662668099</v>
      </c>
      <c r="W17" s="26">
        <f t="shared" si="9"/>
        <v>0.3501329071018377</v>
      </c>
      <c r="X17" s="25">
        <f t="shared" si="7"/>
        <v>1.3533277407721802</v>
      </c>
      <c r="Y17" s="26">
        <f t="shared" si="10"/>
        <v>0.40659372494011875</v>
      </c>
      <c r="Z17" s="26">
        <f t="shared" si="0"/>
        <v>0.94950142175853092</v>
      </c>
      <c r="AA17" s="26">
        <f t="shared" si="3"/>
        <v>9.2056105457562834E-2</v>
      </c>
      <c r="AB17" s="25">
        <f t="shared" si="1"/>
        <v>1.2197040662668099</v>
      </c>
      <c r="AC17" s="25">
        <f t="shared" si="2"/>
        <v>6.6924999999999998E-2</v>
      </c>
    </row>
    <row r="18" spans="1:29" ht="15" customHeight="1">
      <c r="A18" s="33" t="s">
        <v>20</v>
      </c>
      <c r="B18" s="32">
        <f>MAX($AH$4,MIN($AI$4,$AF$4-$AG$4*D8*C8))*IF($B$12="T1",1,IF($B$12="T4",1+0.4*$E$12,1+0.2*$E$12))</f>
        <v>1.5</v>
      </c>
      <c r="C18" s="32">
        <f>B18*C8</f>
        <v>0.123</v>
      </c>
      <c r="D18" s="32">
        <f t="shared" ref="D18:D20" si="11">E18/3</f>
        <v>0.15341737754593213</v>
      </c>
      <c r="E18" s="32">
        <f>$AF$5*E8^(-$AG$5)*E8</f>
        <v>0.46025213263779635</v>
      </c>
      <c r="F18" s="32">
        <f>4*C8+1.6</f>
        <v>1.9280000000000002</v>
      </c>
      <c r="G18" s="32">
        <f>C18*D8*$AF$6</f>
        <v>0.28486799999999995</v>
      </c>
      <c r="Q18" s="26"/>
      <c r="R18" s="25">
        <f t="shared" si="4"/>
        <v>0.95954487095353846</v>
      </c>
      <c r="S18" s="26">
        <f t="shared" si="8"/>
        <v>0.10070545332089569</v>
      </c>
      <c r="T18" s="25">
        <f t="shared" si="5"/>
        <v>0.99842635067060437</v>
      </c>
      <c r="U18" s="26">
        <f t="shared" si="8"/>
        <v>0.1313177526136019</v>
      </c>
      <c r="V18" s="25">
        <f t="shared" si="6"/>
        <v>1.2887188629534694</v>
      </c>
      <c r="W18" s="26">
        <f t="shared" si="9"/>
        <v>0.33138222990482452</v>
      </c>
      <c r="X18" s="25">
        <f t="shared" si="7"/>
        <v>1.4334613537335712</v>
      </c>
      <c r="Y18" s="26">
        <f t="shared" si="10"/>
        <v>0.38386424981194761</v>
      </c>
      <c r="Z18" s="26">
        <f t="shared" si="0"/>
        <v>0.99842635067060437</v>
      </c>
      <c r="AA18" s="26">
        <f t="shared" si="3"/>
        <v>8.7545168409067939E-2</v>
      </c>
      <c r="AB18" s="25">
        <f t="shared" si="1"/>
        <v>1.2887188629534694</v>
      </c>
      <c r="AC18" s="25">
        <f t="shared" si="2"/>
        <v>6.6924999999999998E-2</v>
      </c>
    </row>
    <row r="19" spans="1:29" ht="15" customHeight="1">
      <c r="A19" s="21" t="s">
        <v>18</v>
      </c>
      <c r="B19" s="32">
        <f>MAX($AH$4,MIN($AI$4,$AF$4-$AG$4*D9*C9))*IF($B$12="T1",1,IF($B$12="T4",1+0.4*$E$12,1+0.2*$E$12))</f>
        <v>1.3385</v>
      </c>
      <c r="C19" s="32">
        <f>B19*C9</f>
        <v>0.33462500000000001</v>
      </c>
      <c r="D19" s="32">
        <f t="shared" si="11"/>
        <v>0.17651869980007165</v>
      </c>
      <c r="E19" s="32">
        <f>$AF$5*E9^(-$AG$5)*E9</f>
        <v>0.52955609940021497</v>
      </c>
      <c r="F19" s="32">
        <f>4*C9+1.6</f>
        <v>2.6</v>
      </c>
      <c r="G19" s="32">
        <f>C19*D9*$AF$6</f>
        <v>0.80644625000000003</v>
      </c>
      <c r="Q19" s="26"/>
      <c r="R19" s="25">
        <f t="shared" si="4"/>
        <v>1.0060951409033523</v>
      </c>
      <c r="S19" s="26">
        <f t="shared" si="8"/>
        <v>9.6045987384804452E-2</v>
      </c>
      <c r="T19" s="25">
        <f t="shared" si="5"/>
        <v>1.0473512795826778</v>
      </c>
      <c r="U19" s="26">
        <f t="shared" si="8"/>
        <v>0.12518350535887598</v>
      </c>
      <c r="V19" s="25">
        <f t="shared" si="6"/>
        <v>1.3577336596401288</v>
      </c>
      <c r="W19" s="26">
        <f t="shared" si="9"/>
        <v>0.31453777955178908</v>
      </c>
      <c r="X19" s="25">
        <f t="shared" si="7"/>
        <v>1.5135949666949622</v>
      </c>
      <c r="Y19" s="26">
        <f t="shared" si="10"/>
        <v>0.36354148850459944</v>
      </c>
      <c r="Z19" s="26">
        <f t="shared" si="0"/>
        <v>1.0473512795826778</v>
      </c>
      <c r="AA19" s="26">
        <f t="shared" si="3"/>
        <v>8.3455670239250657E-2</v>
      </c>
      <c r="AB19" s="25">
        <f t="shared" si="1"/>
        <v>1.3577336596401288</v>
      </c>
      <c r="AC19" s="25">
        <f t="shared" si="2"/>
        <v>6.6924999999999998E-2</v>
      </c>
    </row>
    <row r="20" spans="1:29" ht="15" customHeight="1">
      <c r="A20" s="21" t="s">
        <v>29</v>
      </c>
      <c r="B20" s="32">
        <f>MAX($AH$4,MIN($AI$4,$AF$4-$AG$4*D10*C10))*IF($B$12="T1",1,IF($B$12="T4",1+0.4*$E$12,1+0.2*$E$12))</f>
        <v>1.2026870000000001</v>
      </c>
      <c r="C20" s="32">
        <f>B20*C10</f>
        <v>0.40771089300000007</v>
      </c>
      <c r="D20" s="32">
        <f t="shared" si="11"/>
        <v>0.18399720371942338</v>
      </c>
      <c r="E20" s="32">
        <f>$AF$5*E10^(-$AG$5)*E10</f>
        <v>0.55199161115827011</v>
      </c>
      <c r="F20" s="32">
        <f>4*C10+1.6</f>
        <v>2.9560000000000004</v>
      </c>
      <c r="G20" s="32">
        <f>C20*D10*$AF$6</f>
        <v>0.99685313338500015</v>
      </c>
      <c r="Q20" s="26"/>
      <c r="R20" s="25">
        <f t="shared" si="4"/>
        <v>1.052645410853166</v>
      </c>
      <c r="S20" s="26">
        <f t="shared" si="8"/>
        <v>9.1798624888125402E-2</v>
      </c>
      <c r="T20" s="25">
        <f t="shared" si="5"/>
        <v>1.0962762084947513</v>
      </c>
      <c r="U20" s="26">
        <f t="shared" si="8"/>
        <v>0.11959677999423764</v>
      </c>
      <c r="V20" s="25">
        <f t="shared" si="6"/>
        <v>1.4267484563267885</v>
      </c>
      <c r="W20" s="26">
        <f t="shared" si="9"/>
        <v>0.29932293154562584</v>
      </c>
      <c r="X20" s="25">
        <f t="shared" si="7"/>
        <v>1.5937285796563534</v>
      </c>
      <c r="Y20" s="26">
        <f t="shared" si="10"/>
        <v>0.34526240804692376</v>
      </c>
      <c r="Z20" s="26">
        <f t="shared" si="0"/>
        <v>1.0962762084947513</v>
      </c>
      <c r="AA20" s="26">
        <f t="shared" si="3"/>
        <v>7.9731186662825096E-2</v>
      </c>
      <c r="AB20" s="25">
        <f t="shared" si="1"/>
        <v>1.4267484563267885</v>
      </c>
      <c r="AC20" s="25">
        <f t="shared" si="2"/>
        <v>6.6924999999999998E-2</v>
      </c>
    </row>
    <row r="21" spans="1:29" ht="15" customHeight="1">
      <c r="Q21" s="26"/>
      <c r="R21" s="25">
        <f t="shared" si="4"/>
        <v>1.0991956808029797</v>
      </c>
      <c r="S21" s="26">
        <f t="shared" si="8"/>
        <v>8.7911008839232044E-2</v>
      </c>
      <c r="T21" s="25">
        <f t="shared" si="5"/>
        <v>1.1452011374068247</v>
      </c>
      <c r="U21" s="26">
        <f t="shared" si="8"/>
        <v>0.11448740333698032</v>
      </c>
      <c r="V21" s="25">
        <f t="shared" si="6"/>
        <v>1.4957632530134481</v>
      </c>
      <c r="W21" s="26">
        <f t="shared" si="9"/>
        <v>0.28551211541368909</v>
      </c>
      <c r="X21" s="25">
        <f t="shared" si="7"/>
        <v>1.6738621926177444</v>
      </c>
      <c r="Y21" s="26">
        <f t="shared" si="10"/>
        <v>0.32873349407863495</v>
      </c>
      <c r="Z21" s="26">
        <f t="shared" si="0"/>
        <v>1.1452011374068247</v>
      </c>
      <c r="AA21" s="26">
        <f t="shared" si="3"/>
        <v>7.6324935557986875E-2</v>
      </c>
      <c r="AB21" s="25">
        <f t="shared" si="1"/>
        <v>1.4957632530134481</v>
      </c>
      <c r="AC21" s="25">
        <f t="shared" si="2"/>
        <v>6.6924999999999998E-2</v>
      </c>
    </row>
    <row r="22" spans="1:29" ht="15" customHeight="1">
      <c r="A22" s="34"/>
      <c r="G22" s="20" t="s">
        <v>50</v>
      </c>
      <c r="Q22" s="26"/>
      <c r="R22" s="25">
        <f t="shared" si="4"/>
        <v>1.1457459507527936</v>
      </c>
      <c r="S22" s="26">
        <f t="shared" si="8"/>
        <v>8.433929105106272E-2</v>
      </c>
      <c r="T22" s="25">
        <f t="shared" si="5"/>
        <v>1.1941260663188982</v>
      </c>
      <c r="U22" s="26">
        <f t="shared" si="8"/>
        <v>0.10979670255791049</v>
      </c>
      <c r="V22" s="25">
        <f t="shared" si="6"/>
        <v>1.5647780497001076</v>
      </c>
      <c r="W22" s="26">
        <f t="shared" si="9"/>
        <v>0.2729195559765023</v>
      </c>
      <c r="X22" s="25">
        <f t="shared" si="7"/>
        <v>1.7539958055791354</v>
      </c>
      <c r="Y22" s="26">
        <f t="shared" si="10"/>
        <v>0.31371487060293896</v>
      </c>
      <c r="Z22" s="26">
        <f t="shared" si="0"/>
        <v>1.1941260663188982</v>
      </c>
      <c r="AA22" s="26">
        <f t="shared" si="3"/>
        <v>7.3197801705273666E-2</v>
      </c>
      <c r="AB22" s="25">
        <f t="shared" si="1"/>
        <v>1.5647780497001076</v>
      </c>
      <c r="AC22" s="25">
        <f t="shared" si="2"/>
        <v>6.6924999999999998E-2</v>
      </c>
    </row>
    <row r="23" spans="1:29" ht="15" customHeight="1">
      <c r="A23" s="20" t="s">
        <v>51</v>
      </c>
      <c r="B23" s="28">
        <v>0.61099999999999999</v>
      </c>
      <c r="F23" s="23" t="s">
        <v>28</v>
      </c>
      <c r="G23" s="32">
        <f>IF($B$23="","",IF($B$23&lt;D17,G17*($B$23/D17+(1-$B$23/D17)/D7/$AF$6),IF($B$23&lt;=E17,G17,IF($B$23&lt;F17,G17*E17/$B$23,G17*E17*F17/$B$23^2))))</f>
        <v>0.15815286613930676</v>
      </c>
      <c r="I23" s="20">
        <f>IF(B23="",-1,B23)</f>
        <v>0.61099999999999999</v>
      </c>
      <c r="J23" s="27">
        <f>IF($B$23="","",G23)</f>
        <v>0.15815286613930676</v>
      </c>
      <c r="L23" s="20">
        <f>I23</f>
        <v>0.61099999999999999</v>
      </c>
      <c r="M23" s="27">
        <f>IF($B$23="","",G25)</f>
        <v>0.69895013179366716</v>
      </c>
      <c r="Q23" s="26"/>
      <c r="R23" s="25">
        <f t="shared" si="4"/>
        <v>1.1922962207026073</v>
      </c>
      <c r="S23" s="26">
        <f t="shared" si="8"/>
        <v>8.104647111451263E-2</v>
      </c>
      <c r="T23" s="25">
        <f t="shared" si="5"/>
        <v>1.2430509952309716</v>
      </c>
      <c r="U23" s="26">
        <f t="shared" si="8"/>
        <v>0.10547524198385921</v>
      </c>
      <c r="V23" s="25">
        <f t="shared" si="6"/>
        <v>1.633792846386767</v>
      </c>
      <c r="W23" s="26">
        <f t="shared" si="9"/>
        <v>0.2613908681693623</v>
      </c>
      <c r="X23" s="25">
        <f t="shared" si="7"/>
        <v>1.8341294185405264</v>
      </c>
      <c r="Y23" s="26">
        <f t="shared" si="10"/>
        <v>0.30000858261311286</v>
      </c>
      <c r="Z23" s="26">
        <f t="shared" si="0"/>
        <v>1.2430509952309716</v>
      </c>
      <c r="AA23" s="26">
        <f t="shared" si="3"/>
        <v>7.031682798923948E-2</v>
      </c>
      <c r="AB23" s="25">
        <f t="shared" si="1"/>
        <v>1.633792846386767</v>
      </c>
      <c r="AC23" s="25">
        <f t="shared" si="2"/>
        <v>6.6924999999999998E-2</v>
      </c>
    </row>
    <row r="24" spans="1:29" ht="15" customHeight="1">
      <c r="A24" s="34"/>
      <c r="F24" s="33" t="s">
        <v>20</v>
      </c>
      <c r="G24" s="32">
        <f>IF($B$23="","",IF($B$23&lt;D18,G18*($B$23/D18+(1-$B$23/D18)/D8/$AF$6),IF($B$23&lt;=E18,G18,IF($B$23&lt;F18,G18*E18/$B$23,G18*E18*F18/$B$23^2))))</f>
        <v>0.21458445911663462</v>
      </c>
      <c r="I24" s="20">
        <f>I23</f>
        <v>0.61099999999999999</v>
      </c>
      <c r="J24" s="27">
        <f t="shared" ref="J24:J26" si="12">IF($B$23="","",G24)</f>
        <v>0.21458445911663462</v>
      </c>
      <c r="L24" s="20">
        <f>IF($B$29="",-1,I24)</f>
        <v>0.61099999999999999</v>
      </c>
      <c r="M24" s="27">
        <f>IF($B$23="","",G29)</f>
        <v>0.11947865500746449</v>
      </c>
      <c r="Q24" s="26"/>
      <c r="R24" s="25">
        <f t="shared" si="4"/>
        <v>1.238846490652421</v>
      </c>
      <c r="S24" s="26">
        <f t="shared" si="8"/>
        <v>7.8001109855206405E-2</v>
      </c>
      <c r="T24" s="25">
        <f t="shared" si="5"/>
        <v>1.2919759241430451</v>
      </c>
      <c r="U24" s="26">
        <f t="shared" si="8"/>
        <v>0.10148107412081109</v>
      </c>
      <c r="V24" s="25">
        <f t="shared" si="6"/>
        <v>1.7028076430734265</v>
      </c>
      <c r="W24" s="26">
        <f t="shared" si="9"/>
        <v>0.250796695835312</v>
      </c>
      <c r="X24" s="25">
        <f t="shared" si="7"/>
        <v>1.9142630315019173</v>
      </c>
      <c r="Y24" s="26">
        <f t="shared" si="10"/>
        <v>0.28744982174870204</v>
      </c>
      <c r="Z24" s="26">
        <f t="shared" si="0"/>
        <v>1.2919759241430451</v>
      </c>
      <c r="AA24" s="26">
        <f t="shared" si="3"/>
        <v>6.7654049413874054E-2</v>
      </c>
      <c r="AB24" s="25">
        <f t="shared" si="1"/>
        <v>1.7028076430734265</v>
      </c>
      <c r="AC24" s="25">
        <f t="shared" si="2"/>
        <v>6.6924999999999998E-2</v>
      </c>
    </row>
    <row r="25" spans="1:29" ht="15" customHeight="1">
      <c r="A25" s="34"/>
      <c r="C25" s="35" t="s">
        <v>52</v>
      </c>
      <c r="D25" s="36">
        <f>IF(B23="","",G25/G23)</f>
        <v>4.4194591527541878</v>
      </c>
      <c r="F25" s="21" t="s">
        <v>18</v>
      </c>
      <c r="G25" s="32">
        <f>IF($B$23="","",IF($B$23&lt;D19,G19*($B$23/D19+(1-$B$23/D19)/D9/$AF$6),IF($B$23&lt;=E19,G19,IF($B$23&lt;F19,G19*E19/$B$23,G19*E19*F19/$B$23^2))))</f>
        <v>0.69895013179366716</v>
      </c>
      <c r="I25" s="20">
        <f t="shared" ref="I25:I26" si="13">I24</f>
        <v>0.61099999999999999</v>
      </c>
      <c r="J25" s="27">
        <f t="shared" si="12"/>
        <v>0.69895013179366716</v>
      </c>
      <c r="L25" s="20">
        <f t="shared" ref="L25:L26" si="14">I25</f>
        <v>0.61099999999999999</v>
      </c>
      <c r="M25" s="27">
        <f>IF($B$23="","",G23)</f>
        <v>0.15815286613930676</v>
      </c>
      <c r="Q25" s="26"/>
      <c r="R25" s="25">
        <f t="shared" si="4"/>
        <v>1.285396760602235</v>
      </c>
      <c r="S25" s="26">
        <f t="shared" si="8"/>
        <v>7.5176322341004367E-2</v>
      </c>
      <c r="T25" s="25">
        <f t="shared" si="5"/>
        <v>1.3409008530551187</v>
      </c>
      <c r="U25" s="26">
        <f t="shared" si="8"/>
        <v>9.7778373562474222E-2</v>
      </c>
      <c r="V25" s="25">
        <f t="shared" si="6"/>
        <v>1.7718224397600859</v>
      </c>
      <c r="W25" s="26">
        <f t="shared" si="9"/>
        <v>0.24102783718201276</v>
      </c>
      <c r="X25" s="25">
        <f t="shared" si="7"/>
        <v>1.9943966444633086</v>
      </c>
      <c r="Y25" s="26">
        <f t="shared" si="10"/>
        <v>0.27590026723767852</v>
      </c>
      <c r="Z25" s="26">
        <f t="shared" si="0"/>
        <v>1.3409008530551187</v>
      </c>
      <c r="AA25" s="26">
        <f t="shared" si="3"/>
        <v>6.5185582374982814E-2</v>
      </c>
      <c r="AB25" s="25">
        <f t="shared" si="1"/>
        <v>1.7718224397600859</v>
      </c>
      <c r="AC25" s="25">
        <f t="shared" si="2"/>
        <v>6.6924999999999998E-2</v>
      </c>
    </row>
    <row r="26" spans="1:29" ht="15" customHeight="1">
      <c r="A26" s="34"/>
      <c r="C26" s="35" t="s">
        <v>53</v>
      </c>
      <c r="D26" s="51">
        <f>IF(B23="","",G25/G24*1.5)</f>
        <v>4.8858393660308961</v>
      </c>
      <c r="F26" s="21" t="s">
        <v>29</v>
      </c>
      <c r="G26" s="32">
        <f>IF($B$23="","",IF($B$23&lt;D20,G20*($B$23/D20+(1-$B$23/D20)/D10/$AF$6),IF($B$23&lt;=E20,G20,IF($B$23&lt;F20,G20*E20/$B$23,G20*E20*F20/$B$23^2))))</f>
        <v>0.90058030635901176</v>
      </c>
      <c r="I26" s="20">
        <f t="shared" si="13"/>
        <v>0.61099999999999999</v>
      </c>
      <c r="J26" s="27">
        <f t="shared" si="12"/>
        <v>0.90058030635901176</v>
      </c>
      <c r="L26" s="20">
        <f t="shared" si="14"/>
        <v>0.61099999999999999</v>
      </c>
      <c r="M26" s="27">
        <f>IF($B$23="","",G24)</f>
        <v>0.21458445911663462</v>
      </c>
      <c r="Q26" s="26"/>
      <c r="R26" s="25">
        <f t="shared" si="4"/>
        <v>1.3319470305520484</v>
      </c>
      <c r="S26" s="26">
        <f t="shared" si="8"/>
        <v>7.2548982050033836E-2</v>
      </c>
      <c r="T26" s="25">
        <f t="shared" si="5"/>
        <v>1.389825781967192</v>
      </c>
      <c r="U26" s="26">
        <f t="shared" si="8"/>
        <v>9.4336359435415004E-2</v>
      </c>
      <c r="V26" s="25">
        <f t="shared" si="6"/>
        <v>1.8408372364467454</v>
      </c>
      <c r="W26" s="26">
        <f t="shared" si="9"/>
        <v>0.23199146674708482</v>
      </c>
      <c r="X26" s="25">
        <f t="shared" si="7"/>
        <v>2.0745302574246995</v>
      </c>
      <c r="Y26" s="26">
        <f t="shared" si="10"/>
        <v>0.26524297016927412</v>
      </c>
      <c r="Z26" s="26">
        <f t="shared" si="0"/>
        <v>1.389825781967192</v>
      </c>
      <c r="AA26" s="26">
        <f t="shared" si="3"/>
        <v>6.2890906290276674E-2</v>
      </c>
      <c r="AB26" s="25">
        <f t="shared" si="1"/>
        <v>1.8408372364467454</v>
      </c>
      <c r="AC26" s="25">
        <f t="shared" si="2"/>
        <v>6.6924999999999998E-2</v>
      </c>
    </row>
    <row r="27" spans="1:29" ht="15" customHeight="1">
      <c r="A27" s="34"/>
      <c r="Q27" s="26"/>
      <c r="R27" s="25">
        <f t="shared" si="4"/>
        <v>1.3784973005018624</v>
      </c>
      <c r="S27" s="26">
        <f t="shared" si="8"/>
        <v>7.0099086284707512E-2</v>
      </c>
      <c r="T27" s="25">
        <f t="shared" si="5"/>
        <v>1.4387507108792654</v>
      </c>
      <c r="U27" s="26">
        <f t="shared" si="8"/>
        <v>9.1128437698659887E-2</v>
      </c>
      <c r="V27" s="25">
        <f t="shared" si="6"/>
        <v>1.9098520331334048</v>
      </c>
      <c r="W27" s="26">
        <f t="shared" si="9"/>
        <v>0.223608176506363</v>
      </c>
      <c r="X27" s="25">
        <f t="shared" si="7"/>
        <v>2.1546638703860905</v>
      </c>
      <c r="Y27" s="26">
        <f t="shared" si="10"/>
        <v>0.25537837931387275</v>
      </c>
      <c r="Z27" s="26">
        <f t="shared" si="0"/>
        <v>1.4387507108792654</v>
      </c>
      <c r="AA27" s="26">
        <f t="shared" si="3"/>
        <v>6.0752291799106593E-2</v>
      </c>
      <c r="AB27" s="25">
        <f t="shared" si="1"/>
        <v>1.9098520331334048</v>
      </c>
      <c r="AC27" s="25">
        <f t="shared" si="2"/>
        <v>6.6924999999999998E-2</v>
      </c>
    </row>
    <row r="28" spans="1:29" ht="15" customHeight="1">
      <c r="A28" s="16"/>
      <c r="F28" s="20" t="s">
        <v>54</v>
      </c>
      <c r="G28" s="20" t="s">
        <v>55</v>
      </c>
      <c r="Q28" s="26"/>
      <c r="R28" s="25">
        <f t="shared" si="4"/>
        <v>1.4250475704516761</v>
      </c>
      <c r="S28" s="26">
        <f t="shared" si="8"/>
        <v>6.7809245961163681E-2</v>
      </c>
      <c r="T28" s="25">
        <f t="shared" si="5"/>
        <v>1.4876756397913391</v>
      </c>
      <c r="U28" s="26">
        <f t="shared" si="8"/>
        <v>8.8131512685556482E-2</v>
      </c>
      <c r="V28" s="25">
        <f t="shared" si="6"/>
        <v>1.9788668298200647</v>
      </c>
      <c r="W28" s="26">
        <f t="shared" si="9"/>
        <v>0.21580963614654272</v>
      </c>
      <c r="X28" s="25">
        <f t="shared" si="7"/>
        <v>2.2347974833474815</v>
      </c>
      <c r="Y28" s="26">
        <f t="shared" si="10"/>
        <v>0.24622122196107682</v>
      </c>
      <c r="Z28" s="26">
        <f t="shared" si="0"/>
        <v>1.4876756397913391</v>
      </c>
      <c r="AA28" s="26">
        <f t="shared" si="3"/>
        <v>5.8754341790370986E-2</v>
      </c>
      <c r="AB28" s="25">
        <f t="shared" si="1"/>
        <v>1.9788668298200647</v>
      </c>
      <c r="AC28" s="25">
        <f t="shared" si="2"/>
        <v>6.6924999999999998E-2</v>
      </c>
    </row>
    <row r="29" spans="1:29" ht="15" customHeight="1">
      <c r="A29" s="37" t="s">
        <v>56</v>
      </c>
      <c r="B29" s="28">
        <v>5.85</v>
      </c>
      <c r="F29" s="32">
        <f>IF(OR($B$23="",$B$29=""),"",G19/B29/AF6)</f>
        <v>0.13785405982905985</v>
      </c>
      <c r="G29" s="32">
        <f>IF(OR($B$23="",$B$29=""),"",IF($B$23&lt;D19,G19/B29/AF6*($B$23/D19+(1-$B$23/D19)/D9),IF($B$23&lt;=E19,G19/B29/AF6,IF($B$23&lt;F19,G19/B29/AF6*E19/$B$23,G19/B29/AF6*E19*F19/$B$23^2))))</f>
        <v>0.11947865500746449</v>
      </c>
      <c r="Q29" s="26"/>
      <c r="R29" s="25">
        <f t="shared" si="4"/>
        <v>1.47159784040149</v>
      </c>
      <c r="S29" s="26">
        <f t="shared" si="8"/>
        <v>6.5664272234018023E-2</v>
      </c>
      <c r="T29" s="25">
        <f t="shared" si="5"/>
        <v>1.5366005687034123</v>
      </c>
      <c r="U29" s="26">
        <f t="shared" si="8"/>
        <v>8.5325430167512983E-2</v>
      </c>
      <c r="V29" s="25">
        <f t="shared" si="6"/>
        <v>2.0478816265067241</v>
      </c>
      <c r="W29" s="26">
        <f t="shared" si="9"/>
        <v>0.20853672643882593</v>
      </c>
      <c r="X29" s="25">
        <f t="shared" si="7"/>
        <v>2.3149310963088725</v>
      </c>
      <c r="Y29" s="26">
        <f t="shared" si="10"/>
        <v>0.23769803259489231</v>
      </c>
      <c r="Z29" s="26">
        <f t="shared" si="0"/>
        <v>1.5366005687034123</v>
      </c>
      <c r="AA29" s="26">
        <f t="shared" si="3"/>
        <v>5.6883620111675325E-2</v>
      </c>
      <c r="AB29" s="25">
        <f t="shared" si="1"/>
        <v>2.0478816265067241</v>
      </c>
      <c r="AC29" s="25">
        <f t="shared" si="2"/>
        <v>6.6924999999999998E-2</v>
      </c>
    </row>
    <row r="30" spans="1:29" ht="15" customHeight="1">
      <c r="A30" s="16"/>
      <c r="C30" s="52"/>
      <c r="D30" s="38"/>
      <c r="Q30" s="26"/>
      <c r="R30" s="25">
        <f t="shared" si="4"/>
        <v>1.5181481103513037</v>
      </c>
      <c r="S30" s="26">
        <f t="shared" si="8"/>
        <v>6.3650839171914303E-2</v>
      </c>
      <c r="T30" s="25">
        <f t="shared" si="5"/>
        <v>1.585525497615486</v>
      </c>
      <c r="U30" s="26">
        <f t="shared" si="8"/>
        <v>8.2692523530807444E-2</v>
      </c>
      <c r="V30" s="25">
        <f t="shared" si="6"/>
        <v>2.1168964231933836</v>
      </c>
      <c r="W30" s="26">
        <f t="shared" si="9"/>
        <v>0.20173803774570306</v>
      </c>
      <c r="X30" s="25">
        <f t="shared" si="7"/>
        <v>2.3950647092702635</v>
      </c>
      <c r="Y30" s="26">
        <f t="shared" si="10"/>
        <v>0.22974517767956656</v>
      </c>
      <c r="Z30" s="26">
        <f t="shared" si="0"/>
        <v>1.585525497615486</v>
      </c>
      <c r="AA30" s="26">
        <f t="shared" si="3"/>
        <v>5.5128349020538293E-2</v>
      </c>
      <c r="AB30" s="25">
        <f t="shared" si="1"/>
        <v>2.1168964231933836</v>
      </c>
      <c r="AC30" s="25">
        <f t="shared" si="2"/>
        <v>6.6924999999999998E-2</v>
      </c>
    </row>
    <row r="31" spans="1:29" ht="15" customHeight="1">
      <c r="Q31" s="26"/>
      <c r="R31" s="25">
        <f t="shared" si="4"/>
        <v>1.5646983803011174</v>
      </c>
      <c r="S31" s="26">
        <f t="shared" si="8"/>
        <v>6.1757206646127071E-2</v>
      </c>
      <c r="T31" s="25">
        <f t="shared" si="5"/>
        <v>1.6344504265275595</v>
      </c>
      <c r="U31" s="26">
        <f t="shared" si="8"/>
        <v>8.0217241460674563E-2</v>
      </c>
      <c r="V31" s="25">
        <f t="shared" si="6"/>
        <v>2.185911219880043</v>
      </c>
      <c r="W31" s="26">
        <f t="shared" si="9"/>
        <v>0.19536865296357575</v>
      </c>
      <c r="X31" s="25">
        <f t="shared" si="7"/>
        <v>2.4751983222316545</v>
      </c>
      <c r="Y31" s="26">
        <f t="shared" si="10"/>
        <v>0.22230726412631177</v>
      </c>
      <c r="Z31" s="26">
        <f t="shared" si="0"/>
        <v>1.6344504265275595</v>
      </c>
      <c r="AA31" s="26">
        <f t="shared" si="3"/>
        <v>5.3478160973783044E-2</v>
      </c>
      <c r="AB31" s="25">
        <f t="shared" si="1"/>
        <v>2.185911219880043</v>
      </c>
      <c r="AC31" s="25">
        <f t="shared" si="2"/>
        <v>6.6924999999999998E-2</v>
      </c>
    </row>
    <row r="32" spans="1:29" ht="15" customHeight="1">
      <c r="Q32" s="26"/>
      <c r="R32" s="25">
        <f t="shared" si="4"/>
        <v>1.6112486502509313</v>
      </c>
      <c r="S32" s="26">
        <f t="shared" si="8"/>
        <v>5.9972991254991795E-2</v>
      </c>
      <c r="T32" s="25">
        <f t="shared" si="5"/>
        <v>1.6833753554396327</v>
      </c>
      <c r="U32" s="26">
        <f t="shared" si="8"/>
        <v>7.7885840550411645E-2</v>
      </c>
      <c r="V32" s="25">
        <f t="shared" si="6"/>
        <v>2.2549260165667024</v>
      </c>
      <c r="W32" s="26">
        <f t="shared" si="9"/>
        <v>0.18938915396264749</v>
      </c>
      <c r="X32" s="25">
        <f t="shared" si="7"/>
        <v>2.5553319351930455</v>
      </c>
      <c r="Y32" s="26">
        <f t="shared" si="10"/>
        <v>0.21533584721696306</v>
      </c>
      <c r="Z32" s="26">
        <f t="shared" si="0"/>
        <v>1.6833753554396327</v>
      </c>
      <c r="AA32" s="26">
        <f t="shared" si="3"/>
        <v>5.1923893700274427E-2</v>
      </c>
      <c r="AB32" s="25">
        <f t="shared" si="1"/>
        <v>2.2549260165667024</v>
      </c>
      <c r="AC32" s="25">
        <f t="shared" si="2"/>
        <v>6.6924999999999998E-2</v>
      </c>
    </row>
    <row r="33" spans="17:29" ht="15" customHeight="1">
      <c r="Q33" s="26"/>
      <c r="R33" s="25">
        <f t="shared" si="4"/>
        <v>1.657798920200745</v>
      </c>
      <c r="S33" s="26">
        <f t="shared" si="8"/>
        <v>5.8288975842386972E-2</v>
      </c>
      <c r="T33" s="25">
        <f t="shared" si="5"/>
        <v>1.7323002843517064</v>
      </c>
      <c r="U33" s="26">
        <f t="shared" si="8"/>
        <v>7.5686129999875049E-2</v>
      </c>
      <c r="V33" s="25">
        <f t="shared" si="6"/>
        <v>2.3239408132533619</v>
      </c>
      <c r="W33" s="26">
        <f t="shared" si="9"/>
        <v>0.18376480506320519</v>
      </c>
      <c r="X33" s="25">
        <f t="shared" si="7"/>
        <v>2.6354655481544365</v>
      </c>
      <c r="Y33" s="26">
        <f t="shared" si="10"/>
        <v>0.20878837424783958</v>
      </c>
      <c r="Z33" s="26">
        <f t="shared" si="0"/>
        <v>1.7323002843517064</v>
      </c>
      <c r="AA33" s="26">
        <f t="shared" si="3"/>
        <v>5.0457419999916701E-2</v>
      </c>
      <c r="AB33" s="25">
        <f t="shared" si="1"/>
        <v>2.3239408132533619</v>
      </c>
      <c r="AC33" s="25">
        <f t="shared" si="2"/>
        <v>6.6924999999999998E-2</v>
      </c>
    </row>
    <row r="34" spans="17:29" ht="15" customHeight="1">
      <c r="Q34" s="26"/>
      <c r="R34" s="25">
        <f t="shared" si="4"/>
        <v>1.7043491901505587</v>
      </c>
      <c r="S34" s="26">
        <f t="shared" si="8"/>
        <v>5.6696950231531026E-2</v>
      </c>
      <c r="T34" s="25">
        <f t="shared" si="5"/>
        <v>1.7812252132637798</v>
      </c>
      <c r="U34" s="26">
        <f t="shared" si="8"/>
        <v>7.3607258388188809E-2</v>
      </c>
      <c r="V34" s="25">
        <f t="shared" si="6"/>
        <v>2.3929556099400213</v>
      </c>
      <c r="W34" s="26">
        <f t="shared" si="9"/>
        <v>0.17846487780717116</v>
      </c>
      <c r="X34" s="25">
        <f t="shared" si="7"/>
        <v>2.7155991611158274</v>
      </c>
      <c r="Y34" s="26">
        <f t="shared" si="10"/>
        <v>0.20262731520334504</v>
      </c>
      <c r="Z34" s="26">
        <f t="shared" si="0"/>
        <v>1.7812252132637798</v>
      </c>
      <c r="AA34" s="26">
        <f t="shared" si="3"/>
        <v>4.9071505592125871E-2</v>
      </c>
      <c r="AB34" s="25">
        <f t="shared" si="1"/>
        <v>2.3929556099400213</v>
      </c>
      <c r="AC34" s="25">
        <f t="shared" si="2"/>
        <v>6.6924999999999998E-2</v>
      </c>
    </row>
    <row r="35" spans="17:29" ht="15" customHeight="1">
      <c r="Q35" s="26"/>
      <c r="R35" s="25">
        <f t="shared" si="4"/>
        <v>1.7508994601003725</v>
      </c>
      <c r="S35" s="26">
        <f t="shared" si="8"/>
        <v>5.5189577364754529E-2</v>
      </c>
      <c r="T35" s="25">
        <f t="shared" si="5"/>
        <v>1.8301501421758533</v>
      </c>
      <c r="U35" s="26">
        <f t="shared" si="8"/>
        <v>7.1639534647352288E-2</v>
      </c>
      <c r="V35" s="25">
        <f t="shared" si="6"/>
        <v>2.4619704066266812</v>
      </c>
      <c r="W35" s="26">
        <f t="shared" si="9"/>
        <v>0.17346208929906415</v>
      </c>
      <c r="X35" s="25">
        <f t="shared" si="7"/>
        <v>2.7957327740772184</v>
      </c>
      <c r="Y35" s="26">
        <f t="shared" si="10"/>
        <v>0.19681944293369652</v>
      </c>
      <c r="Z35" s="26">
        <f t="shared" si="0"/>
        <v>1.8301501421758533</v>
      </c>
      <c r="AA35" s="26">
        <f t="shared" si="3"/>
        <v>4.7759689764901525E-2</v>
      </c>
      <c r="AB35" s="25">
        <f t="shared" si="1"/>
        <v>2.4619704066266812</v>
      </c>
      <c r="AC35" s="25">
        <f t="shared" si="2"/>
        <v>6.6924999999999998E-2</v>
      </c>
    </row>
    <row r="36" spans="17:29" ht="15" customHeight="1">
      <c r="Q36" s="26"/>
      <c r="R36" s="25">
        <f t="shared" si="4"/>
        <v>1.7974497300501864</v>
      </c>
      <c r="S36" s="26">
        <f t="shared" si="8"/>
        <v>5.3760280243508339E-2</v>
      </c>
      <c r="T36" s="25">
        <f t="shared" si="5"/>
        <v>1.8790750710879267</v>
      </c>
      <c r="U36" s="26">
        <f t="shared" si="8"/>
        <v>6.9774277003395321E-2</v>
      </c>
      <c r="V36" s="25">
        <f t="shared" si="6"/>
        <v>2.5309852033133406</v>
      </c>
      <c r="W36" s="26">
        <f t="shared" si="9"/>
        <v>0.16873213243872923</v>
      </c>
      <c r="X36" s="25">
        <f t="shared" si="7"/>
        <v>2.8758663870386094</v>
      </c>
      <c r="Y36" s="26">
        <f t="shared" si="10"/>
        <v>0.19133523367612865</v>
      </c>
      <c r="Z36" s="26">
        <f t="shared" si="0"/>
        <v>1.8790750710879267</v>
      </c>
      <c r="AA36" s="26">
        <f t="shared" si="3"/>
        <v>4.6516184668930212E-2</v>
      </c>
      <c r="AB36" s="25">
        <f t="shared" si="1"/>
        <v>2.5309852033133406</v>
      </c>
      <c r="AC36" s="25">
        <f t="shared" si="2"/>
        <v>6.6924999999999998E-2</v>
      </c>
    </row>
    <row r="37" spans="17:29" ht="15" customHeight="1">
      <c r="Q37" s="26" t="s">
        <v>57</v>
      </c>
      <c r="R37" s="25">
        <f>MIN(3,F17)</f>
        <v>1.8440000000000001</v>
      </c>
      <c r="S37" s="26">
        <f t="shared" si="8"/>
        <v>5.2403145993013246E-2</v>
      </c>
      <c r="T37" s="25">
        <f>MIN(3,F18)</f>
        <v>1.9280000000000002</v>
      </c>
      <c r="U37" s="26">
        <f t="shared" si="8"/>
        <v>6.800368491714924E-2</v>
      </c>
      <c r="V37" s="25">
        <f>MIN(3,F19)</f>
        <v>2.6</v>
      </c>
      <c r="W37" s="26">
        <f t="shared" si="9"/>
        <v>0.16425328097151176</v>
      </c>
      <c r="X37" s="25">
        <f>MIN(3,F20)</f>
        <v>2.9560000000000004</v>
      </c>
      <c r="Y37" s="26">
        <f t="shared" si="10"/>
        <v>0.18614836508300273</v>
      </c>
      <c r="Z37" s="26">
        <f t="shared" si="0"/>
        <v>1.9280000000000002</v>
      </c>
      <c r="AA37" s="26">
        <f t="shared" si="3"/>
        <v>4.5335789944766162E-2</v>
      </c>
      <c r="AB37" s="25">
        <f t="shared" si="1"/>
        <v>2.6</v>
      </c>
      <c r="AC37" s="25">
        <f t="shared" si="2"/>
        <v>6.6924999999999998E-2</v>
      </c>
    </row>
    <row r="38" spans="17:29" ht="15" customHeight="1">
      <c r="Q38" s="26"/>
      <c r="R38" s="25">
        <f t="shared" ref="R38:R51" si="15">R$37+(R$52-R$37)*(ROW(R38)-ROW(R$37))/15</f>
        <v>1.9210666666666667</v>
      </c>
      <c r="S38" s="26">
        <f>S$7*R$7*R$37/R38^2</f>
        <v>4.8283008272591237E-2</v>
      </c>
      <c r="T38" s="25">
        <f t="shared" ref="T38:T51" si="16">T$37+(T$52-T$37)*(ROW(T38)-ROW(T$37))/15</f>
        <v>1.9994666666666667</v>
      </c>
      <c r="U38" s="26">
        <f>U$7*T$7*T$37/T38^2</f>
        <v>6.322927015988207E-2</v>
      </c>
      <c r="V38" s="25">
        <f t="shared" ref="V38:V51" si="17">V$37+(V$52-V$37)*(ROW(V38)-ROW(V$37))/15</f>
        <v>2.6266666666666669</v>
      </c>
      <c r="W38" s="26">
        <f>W$7*V$7*V$37/V38^2</f>
        <v>0.16093511837310248</v>
      </c>
      <c r="X38" s="25">
        <f t="shared" ref="X38:X51" si="18">X$37+(X$52-X$37)*(ROW(X38)-ROW(X$37))/15</f>
        <v>2.9589333333333339</v>
      </c>
      <c r="Y38" s="26">
        <f>Y$7*X$7*X$37/X38^2</f>
        <v>0.18577947231845296</v>
      </c>
      <c r="Z38" s="26">
        <f t="shared" si="0"/>
        <v>1.9994666666666667</v>
      </c>
      <c r="AA38" s="26">
        <f t="shared" si="3"/>
        <v>4.2152846773254711E-2</v>
      </c>
      <c r="AB38" s="25">
        <f t="shared" si="1"/>
        <v>2.6266666666666669</v>
      </c>
      <c r="AC38" s="25">
        <f t="shared" si="2"/>
        <v>6.6924999999999998E-2</v>
      </c>
    </row>
    <row r="39" spans="17:29" ht="15" customHeight="1">
      <c r="Q39" s="26"/>
      <c r="R39" s="25">
        <f t="shared" si="15"/>
        <v>1.9981333333333333</v>
      </c>
      <c r="S39" s="26">
        <f t="shared" ref="S39:U52" si="19">S$7*R$7*R$37/R39^2</f>
        <v>4.4630347061514961E-2</v>
      </c>
      <c r="T39" s="25">
        <f t="shared" si="16"/>
        <v>2.0709333333333335</v>
      </c>
      <c r="U39" s="26">
        <f t="shared" si="19"/>
        <v>5.8940561469759234E-2</v>
      </c>
      <c r="V39" s="25">
        <f t="shared" si="17"/>
        <v>2.6533333333333333</v>
      </c>
      <c r="W39" s="26">
        <f t="shared" ref="W39:W52" si="20">W$7*V$7*V$37/V39^2</f>
        <v>0.15771649728395079</v>
      </c>
      <c r="X39" s="25">
        <f t="shared" si="18"/>
        <v>2.9618666666666669</v>
      </c>
      <c r="Y39" s="26">
        <f t="shared" ref="Y39:Y52" si="21">Y$7*X$7*X$37/X39^2</f>
        <v>0.18541167502812134</v>
      </c>
      <c r="Z39" s="26">
        <f t="shared" si="0"/>
        <v>2.0709333333333335</v>
      </c>
      <c r="AA39" s="26">
        <f t="shared" si="3"/>
        <v>3.9293707646506158E-2</v>
      </c>
      <c r="AB39" s="25">
        <f t="shared" si="1"/>
        <v>2.6533333333333333</v>
      </c>
      <c r="AC39" s="25">
        <f t="shared" si="2"/>
        <v>6.6924999999999998E-2</v>
      </c>
    </row>
    <row r="40" spans="17:29" ht="15" customHeight="1">
      <c r="Q40" s="26"/>
      <c r="R40" s="25">
        <f t="shared" si="15"/>
        <v>2.0752000000000002</v>
      </c>
      <c r="S40" s="26">
        <f t="shared" si="19"/>
        <v>4.1377026389041026E-2</v>
      </c>
      <c r="T40" s="25">
        <f t="shared" si="16"/>
        <v>2.1424000000000003</v>
      </c>
      <c r="U40" s="26">
        <f t="shared" si="19"/>
        <v>5.5073843516710227E-2</v>
      </c>
      <c r="V40" s="25">
        <f t="shared" si="17"/>
        <v>2.68</v>
      </c>
      <c r="W40" s="26">
        <f t="shared" si="20"/>
        <v>0.15459347563034911</v>
      </c>
      <c r="X40" s="25">
        <f t="shared" si="18"/>
        <v>2.9648000000000003</v>
      </c>
      <c r="Y40" s="26">
        <f t="shared" si="21"/>
        <v>0.18504496887876312</v>
      </c>
      <c r="Z40" s="26">
        <f t="shared" si="0"/>
        <v>2.1424000000000003</v>
      </c>
      <c r="AA40" s="26">
        <f t="shared" si="3"/>
        <v>3.6715895677806816E-2</v>
      </c>
      <c r="AB40" s="25">
        <f t="shared" si="1"/>
        <v>2.68</v>
      </c>
      <c r="AC40" s="25">
        <f t="shared" si="2"/>
        <v>6.6924999999999998E-2</v>
      </c>
    </row>
    <row r="41" spans="17:29" ht="15" customHeight="1">
      <c r="Q41" s="26"/>
      <c r="R41" s="25">
        <f t="shared" si="15"/>
        <v>2.1522666666666668</v>
      </c>
      <c r="S41" s="26">
        <f t="shared" si="19"/>
        <v>3.8466886377449251E-2</v>
      </c>
      <c r="T41" s="25">
        <f t="shared" si="16"/>
        <v>2.2138666666666666</v>
      </c>
      <c r="U41" s="26">
        <f t="shared" si="19"/>
        <v>5.1575516154264263E-2</v>
      </c>
      <c r="V41" s="25">
        <f t="shared" si="17"/>
        <v>2.7066666666666666</v>
      </c>
      <c r="W41" s="26">
        <f t="shared" si="20"/>
        <v>0.15156230456797631</v>
      </c>
      <c r="X41" s="25">
        <f t="shared" si="18"/>
        <v>2.9677333333333338</v>
      </c>
      <c r="Y41" s="26">
        <f t="shared" si="21"/>
        <v>0.18467934955853829</v>
      </c>
      <c r="Z41" s="26">
        <f t="shared" si="0"/>
        <v>2.2138666666666666</v>
      </c>
      <c r="AA41" s="26">
        <f t="shared" si="3"/>
        <v>3.4383677436176173E-2</v>
      </c>
      <c r="AB41" s="25">
        <f t="shared" si="1"/>
        <v>2.7066666666666666</v>
      </c>
      <c r="AC41" s="25">
        <f t="shared" si="2"/>
        <v>6.6924999999999998E-2</v>
      </c>
    </row>
    <row r="42" spans="17:29" ht="15" customHeight="1">
      <c r="Q42" s="26"/>
      <c r="R42" s="25">
        <f t="shared" si="15"/>
        <v>2.2293333333333334</v>
      </c>
      <c r="S42" s="26">
        <f t="shared" si="19"/>
        <v>3.5853303247632883E-2</v>
      </c>
      <c r="T42" s="25">
        <f t="shared" si="16"/>
        <v>2.2853333333333334</v>
      </c>
      <c r="U42" s="26">
        <f t="shared" si="19"/>
        <v>4.8400226854494334E-2</v>
      </c>
      <c r="V42" s="25">
        <f t="shared" si="17"/>
        <v>2.7333333333333334</v>
      </c>
      <c r="W42" s="26">
        <f t="shared" si="20"/>
        <v>0.14861941722645414</v>
      </c>
      <c r="X42" s="25">
        <f t="shared" si="18"/>
        <v>2.9706666666666668</v>
      </c>
      <c r="Y42" s="26">
        <f t="shared" si="21"/>
        <v>0.18431481277688466</v>
      </c>
      <c r="Z42" s="26">
        <f t="shared" si="0"/>
        <v>2.2853333333333334</v>
      </c>
      <c r="AA42" s="26">
        <f t="shared" si="3"/>
        <v>3.2266817902996223E-2</v>
      </c>
      <c r="AB42" s="25">
        <f t="shared" si="1"/>
        <v>2.7333333333333334</v>
      </c>
      <c r="AC42" s="25">
        <f t="shared" si="2"/>
        <v>6.6924999999999998E-2</v>
      </c>
    </row>
    <row r="43" spans="17:29" ht="15" customHeight="1">
      <c r="Q43" s="26"/>
      <c r="R43" s="25">
        <f t="shared" si="15"/>
        <v>2.3064</v>
      </c>
      <c r="S43" s="26">
        <f t="shared" si="19"/>
        <v>3.3497310202478613E-2</v>
      </c>
      <c r="T43" s="25">
        <f t="shared" si="16"/>
        <v>2.3568000000000002</v>
      </c>
      <c r="U43" s="26">
        <f t="shared" si="19"/>
        <v>4.5509393381304129E-2</v>
      </c>
      <c r="V43" s="25">
        <f t="shared" si="17"/>
        <v>2.7600000000000002</v>
      </c>
      <c r="W43" s="26">
        <f t="shared" si="20"/>
        <v>0.14576141821143396</v>
      </c>
      <c r="X43" s="25">
        <f t="shared" si="18"/>
        <v>2.9736000000000002</v>
      </c>
      <c r="Y43" s="26">
        <f t="shared" si="21"/>
        <v>0.18395135426439158</v>
      </c>
      <c r="Z43" s="26">
        <f t="shared" si="0"/>
        <v>2.3568000000000002</v>
      </c>
      <c r="AA43" s="26">
        <f t="shared" si="3"/>
        <v>3.0339595587536086E-2</v>
      </c>
      <c r="AB43" s="25">
        <f t="shared" si="1"/>
        <v>2.7600000000000002</v>
      </c>
      <c r="AC43" s="25">
        <f t="shared" si="2"/>
        <v>6.6924999999999998E-2</v>
      </c>
    </row>
    <row r="44" spans="17:29" ht="15" customHeight="1">
      <c r="Q44" s="26"/>
      <c r="R44" s="25">
        <f t="shared" si="15"/>
        <v>2.3834666666666666</v>
      </c>
      <c r="S44" s="26">
        <f t="shared" si="19"/>
        <v>3.1366136538316935E-2</v>
      </c>
      <c r="T44" s="25">
        <f t="shared" si="16"/>
        <v>2.4282666666666666</v>
      </c>
      <c r="U44" s="26">
        <f t="shared" si="19"/>
        <v>4.2870026218110008E-2</v>
      </c>
      <c r="V44" s="25">
        <f t="shared" si="17"/>
        <v>2.7866666666666666</v>
      </c>
      <c r="W44" s="26">
        <f t="shared" si="20"/>
        <v>0.14298507380650022</v>
      </c>
      <c r="X44" s="25">
        <f t="shared" si="18"/>
        <v>2.9765333333333337</v>
      </c>
      <c r="Y44" s="26">
        <f t="shared" si="21"/>
        <v>0.18358896977267558</v>
      </c>
      <c r="Z44" s="26">
        <f t="shared" si="0"/>
        <v>2.4282666666666666</v>
      </c>
      <c r="AA44" s="26">
        <f t="shared" si="3"/>
        <v>2.8580017478740005E-2</v>
      </c>
      <c r="AB44" s="25">
        <f t="shared" si="1"/>
        <v>2.7866666666666666</v>
      </c>
      <c r="AC44" s="25">
        <f t="shared" si="2"/>
        <v>6.6924999999999998E-2</v>
      </c>
    </row>
    <row r="45" spans="17:29" ht="15" customHeight="1">
      <c r="Q45" s="26"/>
      <c r="R45" s="25">
        <f t="shared" si="15"/>
        <v>2.4605333333333332</v>
      </c>
      <c r="S45" s="26">
        <f t="shared" si="19"/>
        <v>2.9432061889601749E-2</v>
      </c>
      <c r="T45" s="25">
        <f t="shared" si="16"/>
        <v>2.4997333333333334</v>
      </c>
      <c r="U45" s="26">
        <f t="shared" si="19"/>
        <v>4.0453783202553356E-2</v>
      </c>
      <c r="V45" s="25">
        <f t="shared" si="17"/>
        <v>2.8133333333333335</v>
      </c>
      <c r="W45" s="26">
        <f t="shared" si="20"/>
        <v>0.14028730282207799</v>
      </c>
      <c r="X45" s="25">
        <f t="shared" si="18"/>
        <v>2.9794666666666667</v>
      </c>
      <c r="Y45" s="26">
        <f t="shared" si="21"/>
        <v>0.18322765507425573</v>
      </c>
      <c r="Z45" s="26">
        <f t="shared" si="0"/>
        <v>2.4997333333333334</v>
      </c>
      <c r="AA45" s="26">
        <f t="shared" si="3"/>
        <v>2.6969188801702237E-2</v>
      </c>
      <c r="AB45" s="25">
        <f t="shared" si="1"/>
        <v>2.8133333333333335</v>
      </c>
      <c r="AC45" s="25">
        <f t="shared" si="2"/>
        <v>6.6924999999999998E-2</v>
      </c>
    </row>
    <row r="46" spans="17:29" ht="15" customHeight="1">
      <c r="Q46" s="26"/>
      <c r="R46" s="25">
        <f t="shared" si="15"/>
        <v>2.5376000000000003</v>
      </c>
      <c r="S46" s="26">
        <f t="shared" si="19"/>
        <v>2.7671510245258518E-2</v>
      </c>
      <c r="T46" s="25">
        <f t="shared" si="16"/>
        <v>2.5712000000000002</v>
      </c>
      <c r="U46" s="26">
        <f t="shared" si="19"/>
        <v>3.8236205474657441E-2</v>
      </c>
      <c r="V46" s="25">
        <f t="shared" si="17"/>
        <v>2.84</v>
      </c>
      <c r="W46" s="26">
        <f t="shared" si="20"/>
        <v>0.13766516804297504</v>
      </c>
      <c r="X46" s="25">
        <f t="shared" si="18"/>
        <v>2.9824000000000002</v>
      </c>
      <c r="Y46" s="26">
        <f t="shared" si="21"/>
        <v>0.18286740596243051</v>
      </c>
      <c r="Z46" s="26">
        <f t="shared" si="0"/>
        <v>2.5712000000000002</v>
      </c>
      <c r="AA46" s="26">
        <f t="shared" si="3"/>
        <v>2.5490803649771628E-2</v>
      </c>
      <c r="AB46" s="25">
        <f t="shared" si="1"/>
        <v>2.84</v>
      </c>
      <c r="AC46" s="25">
        <f t="shared" si="2"/>
        <v>6.6924999999999998E-2</v>
      </c>
    </row>
    <row r="47" spans="17:29" ht="15" customHeight="1">
      <c r="Q47" s="26"/>
      <c r="R47" s="25">
        <f t="shared" si="15"/>
        <v>2.6146666666666665</v>
      </c>
      <c r="S47" s="26">
        <f t="shared" si="19"/>
        <v>2.6064328060158962E-2</v>
      </c>
      <c r="T47" s="25">
        <f t="shared" si="16"/>
        <v>2.6426666666666669</v>
      </c>
      <c r="U47" s="26">
        <f t="shared" si="19"/>
        <v>3.619609605832564E-2</v>
      </c>
      <c r="V47" s="25">
        <f t="shared" si="17"/>
        <v>2.8666666666666667</v>
      </c>
      <c r="W47" s="26">
        <f t="shared" si="20"/>
        <v>0.13511586823021601</v>
      </c>
      <c r="X47" s="25">
        <f t="shared" si="18"/>
        <v>2.9853333333333336</v>
      </c>
      <c r="Y47" s="26">
        <f t="shared" si="21"/>
        <v>0.18250821825115551</v>
      </c>
      <c r="Z47" s="26">
        <f t="shared" si="0"/>
        <v>2.6426666666666669</v>
      </c>
      <c r="AA47" s="26">
        <f t="shared" si="3"/>
        <v>2.4130730705550427E-2</v>
      </c>
      <c r="AB47" s="25">
        <f t="shared" si="1"/>
        <v>2.8666666666666667</v>
      </c>
      <c r="AC47" s="25">
        <f t="shared" si="2"/>
        <v>6.6924999999999998E-2</v>
      </c>
    </row>
    <row r="48" spans="17:29" ht="15" customHeight="1">
      <c r="Q48" s="26"/>
      <c r="R48" s="25">
        <f t="shared" si="15"/>
        <v>2.6917333333333335</v>
      </c>
      <c r="S48" s="26">
        <f t="shared" si="19"/>
        <v>2.4593204918503173E-2</v>
      </c>
      <c r="T48" s="25">
        <f t="shared" si="16"/>
        <v>2.7141333333333333</v>
      </c>
      <c r="U48" s="26">
        <f t="shared" si="19"/>
        <v>3.4315011437652192E-2</v>
      </c>
      <c r="V48" s="25">
        <f t="shared" si="17"/>
        <v>2.8933333333333335</v>
      </c>
      <c r="W48" s="26">
        <f t="shared" si="20"/>
        <v>0.1326367306364912</v>
      </c>
      <c r="X48" s="25">
        <f t="shared" si="18"/>
        <v>2.9882666666666666</v>
      </c>
      <c r="Y48" s="26">
        <f t="shared" si="21"/>
        <v>0.18215008777492162</v>
      </c>
      <c r="Z48" s="26">
        <f t="shared" si="0"/>
        <v>2.7141333333333333</v>
      </c>
      <c r="AA48" s="26">
        <f t="shared" si="3"/>
        <v>2.2876674291768127E-2</v>
      </c>
      <c r="AB48" s="25">
        <f t="shared" si="1"/>
        <v>2.8933333333333335</v>
      </c>
      <c r="AC48" s="25">
        <f t="shared" si="2"/>
        <v>6.6924999999999998E-2</v>
      </c>
    </row>
    <row r="49" spans="17:29" ht="15" customHeight="1">
      <c r="Q49" s="26"/>
      <c r="R49" s="25">
        <f t="shared" si="15"/>
        <v>2.7688000000000001</v>
      </c>
      <c r="S49" s="26">
        <f t="shared" si="19"/>
        <v>2.324320546247147E-2</v>
      </c>
      <c r="T49" s="25">
        <f t="shared" si="16"/>
        <v>2.7856000000000001</v>
      </c>
      <c r="U49" s="26">
        <f t="shared" si="19"/>
        <v>3.2576843242336194E-2</v>
      </c>
      <c r="V49" s="25">
        <f t="shared" si="17"/>
        <v>2.92</v>
      </c>
      <c r="W49" s="26">
        <f t="shared" si="20"/>
        <v>0.13022520399786777</v>
      </c>
      <c r="X49" s="25">
        <f t="shared" si="18"/>
        <v>2.9912000000000001</v>
      </c>
      <c r="Y49" s="26">
        <f t="shared" si="21"/>
        <v>0.18179301038863427</v>
      </c>
      <c r="Z49" s="26">
        <f t="shared" si="0"/>
        <v>2.7856000000000001</v>
      </c>
      <c r="AA49" s="26">
        <f t="shared" si="3"/>
        <v>2.1717895494890796E-2</v>
      </c>
      <c r="AB49" s="25">
        <f t="shared" si="1"/>
        <v>2.92</v>
      </c>
      <c r="AC49" s="25">
        <f t="shared" si="2"/>
        <v>6.6924999999999998E-2</v>
      </c>
    </row>
    <row r="50" spans="17:29" ht="15" customHeight="1">
      <c r="Q50" s="26"/>
      <c r="R50" s="25">
        <f t="shared" si="15"/>
        <v>2.8458666666666668</v>
      </c>
      <c r="S50" s="26">
        <f t="shared" si="19"/>
        <v>2.2001388817770445E-2</v>
      </c>
      <c r="T50" s="25">
        <f t="shared" si="16"/>
        <v>2.8570666666666669</v>
      </c>
      <c r="U50" s="26">
        <f t="shared" si="19"/>
        <v>3.0967472242094153E-2</v>
      </c>
      <c r="V50" s="25">
        <f t="shared" si="17"/>
        <v>2.9466666666666668</v>
      </c>
      <c r="W50" s="26">
        <f t="shared" si="20"/>
        <v>0.12787885196743995</v>
      </c>
      <c r="X50" s="25">
        <f t="shared" si="18"/>
        <v>2.9941333333333335</v>
      </c>
      <c r="Y50" s="26">
        <f t="shared" si="21"/>
        <v>0.18143698196749364</v>
      </c>
      <c r="Z50" s="26">
        <f t="shared" si="0"/>
        <v>2.8570666666666669</v>
      </c>
      <c r="AA50" s="26">
        <f t="shared" si="3"/>
        <v>2.0644981494729434E-2</v>
      </c>
      <c r="AB50" s="25">
        <f t="shared" si="1"/>
        <v>2.9466666666666668</v>
      </c>
      <c r="AC50" s="25">
        <f t="shared" si="2"/>
        <v>6.6924999999999998E-2</v>
      </c>
    </row>
    <row r="51" spans="17:29" ht="15" customHeight="1">
      <c r="Q51" s="26"/>
      <c r="R51" s="25">
        <f t="shared" si="15"/>
        <v>2.9229333333333329</v>
      </c>
      <c r="S51" s="26">
        <f t="shared" si="19"/>
        <v>2.0856497310876746E-2</v>
      </c>
      <c r="T51" s="25">
        <f t="shared" si="16"/>
        <v>2.9285333333333332</v>
      </c>
      <c r="U51" s="26">
        <f t="shared" si="19"/>
        <v>2.94744807102078E-2</v>
      </c>
      <c r="V51" s="25">
        <f t="shared" si="17"/>
        <v>2.9733333333333332</v>
      </c>
      <c r="W51" s="26">
        <f t="shared" si="20"/>
        <v>0.12559534695935443</v>
      </c>
      <c r="X51" s="25">
        <f t="shared" si="18"/>
        <v>2.9970666666666665</v>
      </c>
      <c r="Y51" s="26">
        <f t="shared" si="21"/>
        <v>0.18108199840687544</v>
      </c>
      <c r="Z51" s="26">
        <f t="shared" si="0"/>
        <v>2.9285333333333332</v>
      </c>
      <c r="AA51" s="26">
        <f t="shared" si="3"/>
        <v>1.9649653806805199E-2</v>
      </c>
      <c r="AB51" s="25">
        <f t="shared" si="1"/>
        <v>2.9733333333333332</v>
      </c>
      <c r="AC51" s="25">
        <f t="shared" si="2"/>
        <v>6.6924999999999998E-2</v>
      </c>
    </row>
    <row r="52" spans="17:29" ht="15" customHeight="1">
      <c r="Q52" s="39">
        <v>3</v>
      </c>
      <c r="R52" s="25">
        <f>$Q$52</f>
        <v>3</v>
      </c>
      <c r="S52" s="26">
        <f t="shared" si="19"/>
        <v>1.9798700425922081E-2</v>
      </c>
      <c r="T52" s="25">
        <f>$Q$52</f>
        <v>3</v>
      </c>
      <c r="U52" s="26">
        <f t="shared" si="19"/>
        <v>2.8086912168340947E-2</v>
      </c>
      <c r="V52" s="25">
        <f>$Q$52</f>
        <v>3</v>
      </c>
      <c r="W52" s="26">
        <f t="shared" si="20"/>
        <v>0.12337246437415773</v>
      </c>
      <c r="X52" s="25">
        <f>$Q$52</f>
        <v>3</v>
      </c>
      <c r="Y52" s="26">
        <f t="shared" si="21"/>
        <v>0.18072805562221256</v>
      </c>
      <c r="Z52" s="26">
        <f t="shared" si="0"/>
        <v>3</v>
      </c>
      <c r="AA52" s="26">
        <f t="shared" si="3"/>
        <v>1.8724608112227297E-2</v>
      </c>
      <c r="AB52" s="25">
        <f t="shared" si="1"/>
        <v>3</v>
      </c>
      <c r="AC52" s="25">
        <f t="shared" si="2"/>
        <v>6.6924999999999998E-2</v>
      </c>
    </row>
    <row r="53" spans="17:29">
      <c r="Q53" s="40"/>
      <c r="R53" s="25"/>
      <c r="S53" s="26"/>
      <c r="T53" s="25"/>
      <c r="U53" s="26"/>
      <c r="V53" s="25"/>
      <c r="W53" s="26"/>
      <c r="X53" s="25"/>
      <c r="Y53" s="26"/>
      <c r="Z53" s="26"/>
      <c r="AA53" s="26"/>
      <c r="AB53" s="25"/>
      <c r="AC53" s="26"/>
    </row>
  </sheetData>
  <sheetProtection sheet="1" objects="1" scenarios="1" selectLockedCells="1"/>
  <protectedRanges>
    <protectedRange sqref="B12:B13 E12" name="Intervallo5_1_1"/>
  </protectedRanges>
  <mergeCells count="1">
    <mergeCell ref="B3:E3"/>
  </mergeCells>
  <dataValidations count="2">
    <dataValidation type="list" allowBlank="1" showInputMessage="1" showErrorMessage="1" sqref="B14">
      <formula1>"A,B,C,D,E"</formula1>
    </dataValidation>
    <dataValidation type="list" allowBlank="1" showInputMessage="1" showErrorMessage="1" sqref="B12">
      <formula1>"T1,T2,T3,T4"</formula1>
    </dataValidation>
  </dataValidations>
  <pageMargins left="0.7" right="0.7" top="0.75" bottom="0.75" header="0.3" footer="0.3"/>
  <pageSetup paperSize="9" orientation="portrait" r:id="rId1"/>
  <ignoredErrors>
    <ignoredError sqref="T7:X7 S8:W37 S38:W52 AB5 X8:X31 X37 X32:X36 X38:X52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7"/>
  <sheetViews>
    <sheetView tabSelected="1" workbookViewId="0">
      <selection activeCell="B4" sqref="B4"/>
    </sheetView>
  </sheetViews>
  <sheetFormatPr defaultColWidth="9" defaultRowHeight="15"/>
  <cols>
    <col min="1" max="16384" width="9" style="1"/>
  </cols>
  <sheetData>
    <row r="1" spans="1:19" ht="15.75">
      <c r="A1" s="93" t="s">
        <v>181</v>
      </c>
      <c r="L1" s="4" t="s">
        <v>182</v>
      </c>
    </row>
    <row r="2" spans="1:19">
      <c r="B2" s="78" t="s">
        <v>183</v>
      </c>
      <c r="C2" s="78" t="s">
        <v>183</v>
      </c>
      <c r="D2" s="78" t="s">
        <v>184</v>
      </c>
      <c r="E2" s="78" t="s">
        <v>184</v>
      </c>
      <c r="F2" s="78" t="s">
        <v>184</v>
      </c>
      <c r="G2" s="78" t="s">
        <v>184</v>
      </c>
      <c r="H2" s="78" t="s">
        <v>194</v>
      </c>
      <c r="M2" s="1" t="str">
        <f t="shared" ref="M2:S3" si="0">IF(B2="","",B2)</f>
        <v>30x70</v>
      </c>
      <c r="N2" s="1" t="str">
        <f t="shared" si="0"/>
        <v>30x70</v>
      </c>
      <c r="O2" s="1" t="str">
        <f t="shared" si="0"/>
        <v>70x30</v>
      </c>
      <c r="P2" s="1" t="str">
        <f t="shared" si="0"/>
        <v>70x30</v>
      </c>
      <c r="Q2" s="1" t="str">
        <f t="shared" si="0"/>
        <v>70x30</v>
      </c>
      <c r="R2" s="1" t="str">
        <f t="shared" si="0"/>
        <v>70x30</v>
      </c>
      <c r="S2" s="1" t="str">
        <f t="shared" si="0"/>
        <v>altro</v>
      </c>
    </row>
    <row r="3" spans="1:19">
      <c r="A3" s="1" t="s">
        <v>185</v>
      </c>
      <c r="B3" s="78" t="s">
        <v>186</v>
      </c>
      <c r="C3" s="78" t="s">
        <v>187</v>
      </c>
      <c r="D3" s="78" t="s">
        <v>186</v>
      </c>
      <c r="E3" s="78" t="s">
        <v>187</v>
      </c>
      <c r="F3" s="78" t="s">
        <v>188</v>
      </c>
      <c r="G3" s="78" t="s">
        <v>189</v>
      </c>
      <c r="H3" s="78"/>
      <c r="L3" s="1" t="s">
        <v>185</v>
      </c>
      <c r="M3" s="1" t="str">
        <f t="shared" si="0"/>
        <v>2 emerg.</v>
      </c>
      <c r="N3" s="1" t="str">
        <f t="shared" si="0"/>
        <v>1 emerg.</v>
      </c>
      <c r="O3" s="1" t="str">
        <f t="shared" si="0"/>
        <v>2 emerg.</v>
      </c>
      <c r="P3" s="1" t="str">
        <f t="shared" si="0"/>
        <v>1 emerg.</v>
      </c>
      <c r="Q3" s="1" t="str">
        <f t="shared" si="0"/>
        <v>2 spess.</v>
      </c>
      <c r="R3" s="1" t="str">
        <f t="shared" si="0"/>
        <v>1 spess.</v>
      </c>
      <c r="S3" s="1" t="str">
        <f t="shared" si="0"/>
        <v/>
      </c>
    </row>
    <row r="4" spans="1:19">
      <c r="A4" s="1">
        <v>7</v>
      </c>
      <c r="B4" s="95"/>
      <c r="C4" s="95"/>
      <c r="D4" s="95"/>
      <c r="E4" s="95"/>
      <c r="F4" s="95"/>
      <c r="G4" s="95"/>
      <c r="H4" s="95"/>
      <c r="L4" s="1">
        <v>7</v>
      </c>
      <c r="M4" s="2" t="str">
        <f t="shared" ref="M4:S10" si="1">IF(B4="","",B4/MAX($B4:$H4))</f>
        <v/>
      </c>
      <c r="N4" s="2" t="str">
        <f t="shared" si="1"/>
        <v/>
      </c>
      <c r="O4" s="2" t="str">
        <f t="shared" si="1"/>
        <v/>
      </c>
      <c r="P4" s="2" t="str">
        <f t="shared" si="1"/>
        <v/>
      </c>
      <c r="Q4" s="2" t="str">
        <f t="shared" si="1"/>
        <v/>
      </c>
      <c r="R4" s="2" t="str">
        <f t="shared" si="1"/>
        <v/>
      </c>
      <c r="S4" s="2" t="str">
        <f t="shared" si="1"/>
        <v/>
      </c>
    </row>
    <row r="5" spans="1:19">
      <c r="A5" s="1">
        <v>6</v>
      </c>
      <c r="B5" s="95"/>
      <c r="C5" s="95"/>
      <c r="D5" s="95"/>
      <c r="E5" s="95"/>
      <c r="F5" s="95"/>
      <c r="G5" s="95"/>
      <c r="H5" s="95"/>
      <c r="L5" s="1">
        <v>6</v>
      </c>
      <c r="M5" s="2" t="str">
        <f t="shared" si="1"/>
        <v/>
      </c>
      <c r="N5" s="2" t="str">
        <f t="shared" si="1"/>
        <v/>
      </c>
      <c r="O5" s="2" t="str">
        <f t="shared" si="1"/>
        <v/>
      </c>
      <c r="P5" s="2" t="str">
        <f t="shared" si="1"/>
        <v/>
      </c>
      <c r="Q5" s="2" t="str">
        <f t="shared" si="1"/>
        <v/>
      </c>
      <c r="R5" s="2" t="str">
        <f t="shared" si="1"/>
        <v/>
      </c>
      <c r="S5" s="2" t="str">
        <f t="shared" si="1"/>
        <v/>
      </c>
    </row>
    <row r="6" spans="1:19">
      <c r="A6" s="1">
        <v>5</v>
      </c>
      <c r="B6" s="95">
        <v>27.355600991212668</v>
      </c>
      <c r="C6" s="95">
        <v>16.040421230233967</v>
      </c>
      <c r="D6" s="95">
        <v>12.175284404506801</v>
      </c>
      <c r="E6" s="95">
        <v>9.190247084404719</v>
      </c>
      <c r="F6" s="95">
        <v>3.8674145928029349</v>
      </c>
      <c r="G6" s="95">
        <v>2.1640269376919079</v>
      </c>
      <c r="H6" s="95"/>
      <c r="L6" s="1">
        <v>5</v>
      </c>
      <c r="M6" s="2">
        <f t="shared" si="1"/>
        <v>1</v>
      </c>
      <c r="N6" s="2">
        <f t="shared" si="1"/>
        <v>0.58636698332405746</v>
      </c>
      <c r="O6" s="2">
        <f t="shared" si="1"/>
        <v>0.44507464516746753</v>
      </c>
      <c r="P6" s="2">
        <f t="shared" si="1"/>
        <v>0.33595485938535463</v>
      </c>
      <c r="Q6" s="2">
        <f t="shared" si="1"/>
        <v>0.14137560326476648</v>
      </c>
      <c r="R6" s="2">
        <f t="shared" si="1"/>
        <v>7.9107270879811772E-2</v>
      </c>
      <c r="S6" s="2" t="str">
        <f t="shared" si="1"/>
        <v/>
      </c>
    </row>
    <row r="7" spans="1:19">
      <c r="A7" s="1">
        <v>4</v>
      </c>
      <c r="B7" s="95">
        <v>33.138923304817752</v>
      </c>
      <c r="C7" s="95">
        <v>19.903419469754304</v>
      </c>
      <c r="D7" s="95">
        <v>13.314423306297705</v>
      </c>
      <c r="E7" s="95">
        <v>10.507165380271084</v>
      </c>
      <c r="F7" s="95">
        <v>3.8674145928029349</v>
      </c>
      <c r="G7" s="95">
        <v>2.1640269376919079</v>
      </c>
      <c r="H7" s="95"/>
      <c r="L7" s="1">
        <v>4</v>
      </c>
      <c r="M7" s="2">
        <f t="shared" si="1"/>
        <v>1</v>
      </c>
      <c r="N7" s="2">
        <f t="shared" si="1"/>
        <v>0.60060549604098745</v>
      </c>
      <c r="O7" s="2">
        <f t="shared" si="1"/>
        <v>0.40177597756659911</v>
      </c>
      <c r="P7" s="2">
        <f t="shared" si="1"/>
        <v>0.31706417506761747</v>
      </c>
      <c r="Q7" s="2">
        <f t="shared" si="1"/>
        <v>0.11670308528825039</v>
      </c>
      <c r="R7" s="2">
        <f t="shared" si="1"/>
        <v>6.5301667099645952E-2</v>
      </c>
      <c r="S7" s="2" t="str">
        <f t="shared" si="1"/>
        <v/>
      </c>
    </row>
    <row r="8" spans="1:19">
      <c r="A8" s="1">
        <v>3</v>
      </c>
      <c r="B8" s="95">
        <v>33.138923304817752</v>
      </c>
      <c r="C8" s="95">
        <v>19.903419469754304</v>
      </c>
      <c r="D8" s="95">
        <v>13.314423306297705</v>
      </c>
      <c r="E8" s="95">
        <v>10.507165380271084</v>
      </c>
      <c r="F8" s="95">
        <v>3.8674145928029349</v>
      </c>
      <c r="G8" s="95">
        <v>2.1640269376919079</v>
      </c>
      <c r="H8" s="95"/>
      <c r="L8" s="1">
        <v>3</v>
      </c>
      <c r="M8" s="2">
        <f t="shared" si="1"/>
        <v>1</v>
      </c>
      <c r="N8" s="2">
        <f t="shared" si="1"/>
        <v>0.60060549604098745</v>
      </c>
      <c r="O8" s="2">
        <f t="shared" si="1"/>
        <v>0.40177597756659911</v>
      </c>
      <c r="P8" s="2">
        <f t="shared" si="1"/>
        <v>0.31706417506761747</v>
      </c>
      <c r="Q8" s="2">
        <f t="shared" si="1"/>
        <v>0.11670308528825039</v>
      </c>
      <c r="R8" s="2">
        <f t="shared" si="1"/>
        <v>6.5301667099645952E-2</v>
      </c>
      <c r="S8" s="2" t="str">
        <f t="shared" si="1"/>
        <v/>
      </c>
    </row>
    <row r="9" spans="1:19">
      <c r="A9" s="1">
        <v>2</v>
      </c>
      <c r="B9" s="95">
        <v>33.138923304817752</v>
      </c>
      <c r="C9" s="95">
        <v>19.903419469754304</v>
      </c>
      <c r="D9" s="95">
        <v>13.314423306297705</v>
      </c>
      <c r="E9" s="95">
        <v>10.507165380271084</v>
      </c>
      <c r="F9" s="95">
        <v>3.8674145928029349</v>
      </c>
      <c r="G9" s="95">
        <v>2.1640269376919079</v>
      </c>
      <c r="H9" s="95"/>
      <c r="L9" s="1">
        <v>2</v>
      </c>
      <c r="M9" s="2">
        <f t="shared" si="1"/>
        <v>1</v>
      </c>
      <c r="N9" s="2">
        <f t="shared" si="1"/>
        <v>0.60060549604098745</v>
      </c>
      <c r="O9" s="2">
        <f t="shared" si="1"/>
        <v>0.40177597756659911</v>
      </c>
      <c r="P9" s="2">
        <f t="shared" si="1"/>
        <v>0.31706417506761747</v>
      </c>
      <c r="Q9" s="2">
        <f t="shared" si="1"/>
        <v>0.11670308528825039</v>
      </c>
      <c r="R9" s="2">
        <f t="shared" si="1"/>
        <v>6.5301667099645952E-2</v>
      </c>
      <c r="S9" s="2" t="str">
        <f t="shared" si="1"/>
        <v/>
      </c>
    </row>
    <row r="10" spans="1:19">
      <c r="A10" s="1">
        <v>1</v>
      </c>
      <c r="B10" s="95">
        <v>41.310715101230294</v>
      </c>
      <c r="C10" s="95">
        <v>32.91031312037795</v>
      </c>
      <c r="D10" s="95">
        <v>11.060107339255499</v>
      </c>
      <c r="E10" s="95">
        <v>9.8728223778735629</v>
      </c>
      <c r="F10" s="95">
        <v>6.1889472815140341</v>
      </c>
      <c r="G10" s="95">
        <v>4.9680903860171535</v>
      </c>
      <c r="H10" s="95"/>
      <c r="L10" s="1">
        <v>1</v>
      </c>
      <c r="M10" s="2">
        <f t="shared" si="1"/>
        <v>1</v>
      </c>
      <c r="N10" s="2">
        <f t="shared" si="1"/>
        <v>0.79665319372304533</v>
      </c>
      <c r="O10" s="2">
        <f t="shared" si="1"/>
        <v>0.26772974789114973</v>
      </c>
      <c r="P10" s="2">
        <f t="shared" si="1"/>
        <v>0.23898938456234894</v>
      </c>
      <c r="Q10" s="2">
        <f t="shared" si="1"/>
        <v>0.14981457634776499</v>
      </c>
      <c r="R10" s="2">
        <f t="shared" si="1"/>
        <v>0.12026154410164631</v>
      </c>
      <c r="S10" s="2" t="str">
        <f t="shared" si="1"/>
        <v/>
      </c>
    </row>
    <row r="12" spans="1:19">
      <c r="A12" s="4" t="s">
        <v>155</v>
      </c>
    </row>
    <row r="13" spans="1:19">
      <c r="B13" s="1" t="str">
        <f>IF(B3="","",B3)</f>
        <v>2 emerg.</v>
      </c>
      <c r="C13" s="1" t="str">
        <f t="shared" ref="C13:H13" si="2">IF(C3="","",C3)</f>
        <v>1 emerg.</v>
      </c>
      <c r="D13" s="1" t="str">
        <f t="shared" si="2"/>
        <v>2 emerg.</v>
      </c>
      <c r="E13" s="1" t="str">
        <f t="shared" si="2"/>
        <v>1 emerg.</v>
      </c>
      <c r="F13" s="1" t="str">
        <f t="shared" si="2"/>
        <v>2 spess.</v>
      </c>
      <c r="G13" s="1" t="str">
        <f t="shared" si="2"/>
        <v>1 spess.</v>
      </c>
      <c r="H13" s="1" t="str">
        <f t="shared" si="2"/>
        <v/>
      </c>
    </row>
    <row r="14" spans="1:19">
      <c r="A14" s="1" t="s">
        <v>72</v>
      </c>
      <c r="B14" s="96">
        <v>10</v>
      </c>
      <c r="C14" s="96">
        <v>3</v>
      </c>
      <c r="D14" s="96">
        <v>1</v>
      </c>
      <c r="E14" s="96">
        <v>5</v>
      </c>
      <c r="F14" s="96">
        <v>4</v>
      </c>
      <c r="G14" s="96">
        <v>4</v>
      </c>
      <c r="H14" s="96"/>
    </row>
    <row r="16" spans="1:19">
      <c r="A16" s="1" t="s">
        <v>185</v>
      </c>
      <c r="B16" s="1" t="s">
        <v>190</v>
      </c>
      <c r="C16" s="1" t="s">
        <v>190</v>
      </c>
      <c r="D16" s="1" t="s">
        <v>190</v>
      </c>
      <c r="E16" s="1" t="s">
        <v>190</v>
      </c>
      <c r="F16" s="1" t="s">
        <v>190</v>
      </c>
      <c r="G16" s="1" t="s">
        <v>190</v>
      </c>
      <c r="H16" s="1" t="s">
        <v>190</v>
      </c>
      <c r="I16" s="1" t="s">
        <v>191</v>
      </c>
      <c r="J16" s="94" t="s">
        <v>192</v>
      </c>
      <c r="K16" s="1" t="s">
        <v>193</v>
      </c>
    </row>
    <row r="17" spans="1:11">
      <c r="A17" s="1">
        <v>7</v>
      </c>
      <c r="B17" s="42" t="str">
        <f>IF(B4="","",B4*B$14)</f>
        <v/>
      </c>
      <c r="C17" s="42" t="str">
        <f t="shared" ref="C17:F17" si="3">IF(C4="","",C4*C$14)</f>
        <v/>
      </c>
      <c r="D17" s="42" t="str">
        <f t="shared" si="3"/>
        <v/>
      </c>
      <c r="E17" s="42" t="str">
        <f t="shared" si="3"/>
        <v/>
      </c>
      <c r="F17" s="42" t="str">
        <f t="shared" si="3"/>
        <v/>
      </c>
      <c r="G17" s="42" t="str">
        <f t="shared" ref="G17:H17" si="4">IF(G4="","",G4*G$14)</f>
        <v/>
      </c>
      <c r="H17" s="42" t="str">
        <f t="shared" si="4"/>
        <v/>
      </c>
      <c r="I17" s="42" t="str">
        <f>IF(B17="","",SUM(B17:H17))</f>
        <v/>
      </c>
      <c r="J17" s="79" t="str">
        <f t="shared" ref="J17:J21" si="5">IF(I17="","",I17/I18)</f>
        <v/>
      </c>
    </row>
    <row r="18" spans="1:11">
      <c r="A18" s="1">
        <v>6</v>
      </c>
      <c r="B18" s="42" t="str">
        <f t="shared" ref="B18:F23" si="6">IF(B5="","",B5*B$14)</f>
        <v/>
      </c>
      <c r="C18" s="42" t="str">
        <f t="shared" si="6"/>
        <v/>
      </c>
      <c r="D18" s="42" t="str">
        <f t="shared" si="6"/>
        <v/>
      </c>
      <c r="E18" s="42" t="str">
        <f t="shared" si="6"/>
        <v/>
      </c>
      <c r="F18" s="42" t="str">
        <f t="shared" si="6"/>
        <v/>
      </c>
      <c r="G18" s="42" t="str">
        <f t="shared" ref="G18:H18" si="7">IF(G5="","",G5*G$14)</f>
        <v/>
      </c>
      <c r="H18" s="42" t="str">
        <f t="shared" si="7"/>
        <v/>
      </c>
      <c r="I18" s="42" t="str">
        <f t="shared" ref="I18:I23" si="8">IF(B18="","",SUM(B18:H18))</f>
        <v/>
      </c>
      <c r="J18" s="79" t="str">
        <f t="shared" si="5"/>
        <v/>
      </c>
    </row>
    <row r="19" spans="1:11">
      <c r="A19" s="1">
        <v>5</v>
      </c>
      <c r="B19" s="42">
        <f t="shared" si="6"/>
        <v>273.55600991212668</v>
      </c>
      <c r="C19" s="42">
        <f t="shared" si="6"/>
        <v>48.121263690701902</v>
      </c>
      <c r="D19" s="42">
        <f t="shared" si="6"/>
        <v>12.175284404506801</v>
      </c>
      <c r="E19" s="42">
        <f t="shared" si="6"/>
        <v>45.951235422023593</v>
      </c>
      <c r="F19" s="42">
        <f t="shared" si="6"/>
        <v>15.469658371211739</v>
      </c>
      <c r="G19" s="42">
        <f t="shared" ref="G19" si="9">IF(G6="","",G6*G$14)</f>
        <v>8.6561077507676316</v>
      </c>
      <c r="H19" s="42" t="str">
        <f>IF(H6="","",H6*H$14)</f>
        <v/>
      </c>
      <c r="I19" s="42">
        <f t="shared" si="8"/>
        <v>403.92955955133834</v>
      </c>
      <c r="J19" s="79">
        <f t="shared" si="5"/>
        <v>0.83963858690166382</v>
      </c>
      <c r="K19" s="2">
        <f>I19/B6</f>
        <v>14.765881388644726</v>
      </c>
    </row>
    <row r="20" spans="1:11">
      <c r="A20" s="1">
        <v>4</v>
      </c>
      <c r="B20" s="42">
        <f t="shared" si="6"/>
        <v>331.38923304817752</v>
      </c>
      <c r="C20" s="42">
        <f t="shared" si="6"/>
        <v>59.710258409262913</v>
      </c>
      <c r="D20" s="42">
        <f t="shared" si="6"/>
        <v>13.314423306297705</v>
      </c>
      <c r="E20" s="42">
        <f t="shared" si="6"/>
        <v>52.535826901355421</v>
      </c>
      <c r="F20" s="42">
        <f t="shared" si="6"/>
        <v>15.469658371211739</v>
      </c>
      <c r="G20" s="42">
        <f t="shared" ref="G20:H20" si="10">IF(G7="","",G7*G$14)</f>
        <v>8.6561077507676316</v>
      </c>
      <c r="H20" s="42" t="str">
        <f t="shared" si="10"/>
        <v/>
      </c>
      <c r="I20" s="42">
        <f t="shared" si="8"/>
        <v>481.07550778707298</v>
      </c>
      <c r="J20" s="79">
        <f t="shared" si="5"/>
        <v>1</v>
      </c>
      <c r="K20" s="2">
        <f>I20/B7</f>
        <v>14.516932350579236</v>
      </c>
    </row>
    <row r="21" spans="1:11">
      <c r="A21" s="1">
        <v>3</v>
      </c>
      <c r="B21" s="42">
        <f t="shared" si="6"/>
        <v>331.38923304817752</v>
      </c>
      <c r="C21" s="42">
        <f t="shared" si="6"/>
        <v>59.710258409262913</v>
      </c>
      <c r="D21" s="42">
        <f t="shared" si="6"/>
        <v>13.314423306297705</v>
      </c>
      <c r="E21" s="42">
        <f t="shared" si="6"/>
        <v>52.535826901355421</v>
      </c>
      <c r="F21" s="42">
        <f t="shared" si="6"/>
        <v>15.469658371211739</v>
      </c>
      <c r="G21" s="42">
        <f t="shared" ref="G21:H21" si="11">IF(G8="","",G8*G$14)</f>
        <v>8.6561077507676316</v>
      </c>
      <c r="H21" s="42" t="str">
        <f t="shared" si="11"/>
        <v/>
      </c>
      <c r="I21" s="42">
        <f t="shared" si="8"/>
        <v>481.07550778707298</v>
      </c>
      <c r="J21" s="79">
        <f t="shared" si="5"/>
        <v>1</v>
      </c>
      <c r="K21" s="2">
        <f>I21/B8</f>
        <v>14.516932350579236</v>
      </c>
    </row>
    <row r="22" spans="1:11">
      <c r="A22" s="1">
        <v>2</v>
      </c>
      <c r="B22" s="42">
        <f t="shared" si="6"/>
        <v>331.38923304817752</v>
      </c>
      <c r="C22" s="42">
        <f t="shared" si="6"/>
        <v>59.710258409262913</v>
      </c>
      <c r="D22" s="42">
        <f t="shared" si="6"/>
        <v>13.314423306297705</v>
      </c>
      <c r="E22" s="42">
        <f t="shared" si="6"/>
        <v>52.535826901355421</v>
      </c>
      <c r="F22" s="42">
        <f t="shared" si="6"/>
        <v>15.469658371211739</v>
      </c>
      <c r="G22" s="42">
        <f t="shared" ref="G22:H22" si="12">IF(G9="","",G9*G$14)</f>
        <v>8.6561077507676316</v>
      </c>
      <c r="H22" s="42" t="str">
        <f t="shared" si="12"/>
        <v/>
      </c>
      <c r="I22" s="42">
        <f t="shared" si="8"/>
        <v>481.07550778707298</v>
      </c>
      <c r="J22" s="79">
        <f>IF(I22="","",I22/I23)</f>
        <v>0.77983943466205086</v>
      </c>
      <c r="K22" s="2">
        <f>I22/B9</f>
        <v>14.516932350579236</v>
      </c>
    </row>
    <row r="23" spans="1:11">
      <c r="A23" s="1">
        <v>1</v>
      </c>
      <c r="B23" s="42">
        <f t="shared" si="6"/>
        <v>413.10715101230295</v>
      </c>
      <c r="C23" s="42">
        <f t="shared" si="6"/>
        <v>98.730939361133849</v>
      </c>
      <c r="D23" s="42">
        <f t="shared" si="6"/>
        <v>11.060107339255499</v>
      </c>
      <c r="E23" s="42">
        <f t="shared" si="6"/>
        <v>49.364111889367813</v>
      </c>
      <c r="F23" s="42">
        <f t="shared" si="6"/>
        <v>24.755789126056136</v>
      </c>
      <c r="G23" s="42">
        <f t="shared" ref="G23:H23" si="13">IF(G10="","",G10*G$14)</f>
        <v>19.872361544068614</v>
      </c>
      <c r="H23" s="42" t="str">
        <f t="shared" si="13"/>
        <v/>
      </c>
      <c r="I23" s="42">
        <f t="shared" si="8"/>
        <v>616.8904602721849</v>
      </c>
      <c r="J23" s="79"/>
      <c r="K23" s="2">
        <f>I23/B10</f>
        <v>14.932940733669676</v>
      </c>
    </row>
    <row r="25" spans="1:11">
      <c r="A25" s="4" t="s">
        <v>158</v>
      </c>
    </row>
    <row r="26" spans="1:11">
      <c r="B26" s="1" t="str">
        <f>IF(B2="","",B2)</f>
        <v>30x70</v>
      </c>
      <c r="C26" s="1" t="str">
        <f t="shared" ref="C26:H26" si="14">IF(C2="","",C2)</f>
        <v>30x70</v>
      </c>
      <c r="D26" s="1" t="str">
        <f t="shared" si="14"/>
        <v>70x30</v>
      </c>
      <c r="E26" s="1" t="str">
        <f t="shared" si="14"/>
        <v>70x30</v>
      </c>
      <c r="F26" s="1" t="str">
        <f t="shared" si="14"/>
        <v>70x30</v>
      </c>
      <c r="G26" s="1" t="str">
        <f t="shared" si="14"/>
        <v>70x30</v>
      </c>
      <c r="H26" s="1" t="str">
        <f t="shared" si="14"/>
        <v>altro</v>
      </c>
    </row>
    <row r="27" spans="1:11">
      <c r="B27" s="1" t="str">
        <f>IF(B3="","",B3)</f>
        <v>2 emerg.</v>
      </c>
      <c r="C27" s="1" t="str">
        <f t="shared" ref="C27:H27" si="15">IF(C3="","",C3)</f>
        <v>1 emerg.</v>
      </c>
      <c r="D27" s="1" t="str">
        <f t="shared" si="15"/>
        <v>2 emerg.</v>
      </c>
      <c r="E27" s="1" t="str">
        <f t="shared" si="15"/>
        <v>1 emerg.</v>
      </c>
      <c r="F27" s="1" t="str">
        <f t="shared" si="15"/>
        <v>2 spess.</v>
      </c>
      <c r="G27" s="1" t="str">
        <f t="shared" si="15"/>
        <v>1 spess.</v>
      </c>
      <c r="H27" s="1" t="str">
        <f t="shared" si="15"/>
        <v/>
      </c>
    </row>
    <row r="28" spans="1:11">
      <c r="A28" s="1" t="s">
        <v>72</v>
      </c>
      <c r="B28" s="96">
        <v>11</v>
      </c>
      <c r="C28" s="96">
        <v>3</v>
      </c>
      <c r="D28" s="96">
        <v>0</v>
      </c>
      <c r="E28" s="96">
        <v>7</v>
      </c>
      <c r="F28" s="96">
        <v>2</v>
      </c>
      <c r="G28" s="96">
        <v>4</v>
      </c>
      <c r="H28" s="96"/>
    </row>
    <row r="30" spans="1:11">
      <c r="A30" s="1" t="s">
        <v>185</v>
      </c>
      <c r="B30" s="1" t="s">
        <v>190</v>
      </c>
      <c r="C30" s="1" t="s">
        <v>190</v>
      </c>
      <c r="D30" s="1" t="s">
        <v>190</v>
      </c>
      <c r="E30" s="1" t="s">
        <v>190</v>
      </c>
      <c r="F30" s="1" t="s">
        <v>190</v>
      </c>
      <c r="H30" s="1" t="s">
        <v>190</v>
      </c>
      <c r="I30" s="1" t="s">
        <v>191</v>
      </c>
      <c r="J30" s="94" t="s">
        <v>192</v>
      </c>
      <c r="K30" s="1" t="s">
        <v>193</v>
      </c>
    </row>
    <row r="31" spans="1:11">
      <c r="A31" s="1">
        <v>7</v>
      </c>
      <c r="B31" s="42" t="str">
        <f>IF(B4="","",B4*B$28)</f>
        <v/>
      </c>
      <c r="C31" s="42" t="str">
        <f t="shared" ref="C31:F31" si="16">IF(C4="","",C4*C$28)</f>
        <v/>
      </c>
      <c r="D31" s="42" t="str">
        <f t="shared" si="16"/>
        <v/>
      </c>
      <c r="E31" s="42" t="str">
        <f t="shared" si="16"/>
        <v/>
      </c>
      <c r="F31" s="42" t="str">
        <f t="shared" si="16"/>
        <v/>
      </c>
      <c r="G31" s="42" t="str">
        <f t="shared" ref="G31:H31" si="17">IF(G4="","",G4*G$28)</f>
        <v/>
      </c>
      <c r="H31" s="42" t="str">
        <f t="shared" si="17"/>
        <v/>
      </c>
      <c r="I31" s="42" t="str">
        <f>IF(B31="","",SUM(B31:H31))</f>
        <v/>
      </c>
      <c r="J31" s="79" t="str">
        <f t="shared" ref="J31:J35" si="18">IF(I31="","",I31/I32)</f>
        <v/>
      </c>
    </row>
    <row r="32" spans="1:11">
      <c r="A32" s="1">
        <v>6</v>
      </c>
      <c r="B32" s="42" t="str">
        <f t="shared" ref="B32:F37" si="19">IF(B5="","",B5*B$28)</f>
        <v/>
      </c>
      <c r="C32" s="42" t="str">
        <f t="shared" si="19"/>
        <v/>
      </c>
      <c r="D32" s="42" t="str">
        <f t="shared" si="19"/>
        <v/>
      </c>
      <c r="E32" s="42" t="str">
        <f t="shared" si="19"/>
        <v/>
      </c>
      <c r="F32" s="42" t="str">
        <f t="shared" si="19"/>
        <v/>
      </c>
      <c r="G32" s="42" t="str">
        <f t="shared" ref="G32:H32" si="20">IF(G5="","",G5*G$28)</f>
        <v/>
      </c>
      <c r="H32" s="42" t="str">
        <f t="shared" si="20"/>
        <v/>
      </c>
      <c r="I32" s="42" t="str">
        <f t="shared" ref="I32:I37" si="21">IF(B32="","",SUM(B32:H32))</f>
        <v/>
      </c>
      <c r="J32" s="79" t="str">
        <f t="shared" si="18"/>
        <v/>
      </c>
    </row>
    <row r="33" spans="1:11">
      <c r="A33" s="1">
        <v>5</v>
      </c>
      <c r="B33" s="42">
        <f t="shared" si="19"/>
        <v>300.91161090333935</v>
      </c>
      <c r="C33" s="42">
        <f t="shared" si="19"/>
        <v>48.121263690701902</v>
      </c>
      <c r="D33" s="42">
        <f t="shared" si="19"/>
        <v>0</v>
      </c>
      <c r="E33" s="42">
        <f t="shared" si="19"/>
        <v>64.331729590833035</v>
      </c>
      <c r="F33" s="42">
        <f t="shared" si="19"/>
        <v>7.7348291856058697</v>
      </c>
      <c r="G33" s="42">
        <f t="shared" ref="G33:H33" si="22">IF(G6="","",G6*G$28)</f>
        <v>8.6561077507676316</v>
      </c>
      <c r="H33" s="42" t="str">
        <f t="shared" si="22"/>
        <v/>
      </c>
      <c r="I33" s="42">
        <f t="shared" si="21"/>
        <v>429.7555411212478</v>
      </c>
      <c r="J33" s="79">
        <f t="shared" si="18"/>
        <v>0.83580837683656983</v>
      </c>
      <c r="K33" s="2">
        <f>I33/B6</f>
        <v>15.709965255718435</v>
      </c>
    </row>
    <row r="34" spans="1:11">
      <c r="A34" s="1">
        <v>4</v>
      </c>
      <c r="B34" s="42">
        <f t="shared" si="19"/>
        <v>364.52815635299527</v>
      </c>
      <c r="C34" s="42">
        <f t="shared" si="19"/>
        <v>59.710258409262913</v>
      </c>
      <c r="D34" s="42">
        <f t="shared" si="19"/>
        <v>0</v>
      </c>
      <c r="E34" s="42">
        <f t="shared" si="19"/>
        <v>73.550157661897586</v>
      </c>
      <c r="F34" s="42">
        <f t="shared" si="19"/>
        <v>7.7348291856058697</v>
      </c>
      <c r="G34" s="42">
        <f t="shared" ref="G34:H34" si="23">IF(G7="","",G7*G$28)</f>
        <v>8.6561077507676316</v>
      </c>
      <c r="H34" s="42" t="str">
        <f t="shared" si="23"/>
        <v/>
      </c>
      <c r="I34" s="42">
        <f t="shared" si="21"/>
        <v>514.17950936052921</v>
      </c>
      <c r="J34" s="79">
        <f t="shared" si="18"/>
        <v>1</v>
      </c>
      <c r="K34" s="2">
        <f>I34/B7</f>
        <v>15.515878552571367</v>
      </c>
    </row>
    <row r="35" spans="1:11">
      <c r="A35" s="1">
        <v>3</v>
      </c>
      <c r="B35" s="42">
        <f t="shared" si="19"/>
        <v>364.52815635299527</v>
      </c>
      <c r="C35" s="42">
        <f t="shared" si="19"/>
        <v>59.710258409262913</v>
      </c>
      <c r="D35" s="42">
        <f t="shared" si="19"/>
        <v>0</v>
      </c>
      <c r="E35" s="42">
        <f t="shared" si="19"/>
        <v>73.550157661897586</v>
      </c>
      <c r="F35" s="42">
        <f t="shared" si="19"/>
        <v>7.7348291856058697</v>
      </c>
      <c r="G35" s="42">
        <f t="shared" ref="G35:H35" si="24">IF(G8="","",G8*G$28)</f>
        <v>8.6561077507676316</v>
      </c>
      <c r="H35" s="42" t="str">
        <f t="shared" si="24"/>
        <v/>
      </c>
      <c r="I35" s="42">
        <f t="shared" si="21"/>
        <v>514.17950936052921</v>
      </c>
      <c r="J35" s="79">
        <f t="shared" si="18"/>
        <v>1</v>
      </c>
      <c r="K35" s="2">
        <f>I35/B8</f>
        <v>15.515878552571367</v>
      </c>
    </row>
    <row r="36" spans="1:11">
      <c r="A36" s="1">
        <v>2</v>
      </c>
      <c r="B36" s="42">
        <f t="shared" si="19"/>
        <v>364.52815635299527</v>
      </c>
      <c r="C36" s="42">
        <f t="shared" si="19"/>
        <v>59.710258409262913</v>
      </c>
      <c r="D36" s="42">
        <f t="shared" si="19"/>
        <v>0</v>
      </c>
      <c r="E36" s="42">
        <f t="shared" si="19"/>
        <v>73.550157661897586</v>
      </c>
      <c r="F36" s="42">
        <f t="shared" si="19"/>
        <v>7.7348291856058697</v>
      </c>
      <c r="G36" s="42">
        <f t="shared" ref="G36:H36" si="25">IF(G9="","",G9*G$28)</f>
        <v>8.6561077507676316</v>
      </c>
      <c r="H36" s="42" t="str">
        <f t="shared" si="25"/>
        <v/>
      </c>
      <c r="I36" s="42">
        <f t="shared" si="21"/>
        <v>514.17950936052921</v>
      </c>
      <c r="J36" s="79">
        <f>IF(I36="","",I36/I37)</f>
        <v>0.78559599968948646</v>
      </c>
      <c r="K36" s="2">
        <f>I36/B9</f>
        <v>15.515878552571367</v>
      </c>
    </row>
    <row r="37" spans="1:11">
      <c r="A37" s="1">
        <v>1</v>
      </c>
      <c r="B37" s="42">
        <f t="shared" si="19"/>
        <v>454.41786611353325</v>
      </c>
      <c r="C37" s="42">
        <f t="shared" si="19"/>
        <v>98.730939361133849</v>
      </c>
      <c r="D37" s="42">
        <f t="shared" si="19"/>
        <v>0</v>
      </c>
      <c r="E37" s="42">
        <f t="shared" si="19"/>
        <v>69.109756645114942</v>
      </c>
      <c r="F37" s="42">
        <f t="shared" si="19"/>
        <v>12.377894563028068</v>
      </c>
      <c r="G37" s="42">
        <f t="shared" ref="G37:H37" si="26">IF(G10="","",G10*G$28)</f>
        <v>19.872361544068614</v>
      </c>
      <c r="H37" s="42" t="str">
        <f t="shared" si="26"/>
        <v/>
      </c>
      <c r="I37" s="42">
        <f t="shared" si="21"/>
        <v>654.50881822687882</v>
      </c>
      <c r="J37" s="79"/>
      <c r="K37" s="2">
        <f>I37/B10</f>
        <v>15.843560602207697</v>
      </c>
    </row>
  </sheetData>
  <conditionalFormatting sqref="J17:J23 J31:J37">
    <cfRule type="cellIs" dxfId="0" priority="4" operator="lessThan">
      <formula>0.7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45"/>
  <sheetViews>
    <sheetView workbookViewId="0">
      <selection activeCell="A5" sqref="A5"/>
    </sheetView>
  </sheetViews>
  <sheetFormatPr defaultRowHeight="15"/>
  <cols>
    <col min="8" max="8" width="9.7109375" bestFit="1" customWidth="1"/>
  </cols>
  <sheetData>
    <row r="1" spans="1:17" ht="15.75">
      <c r="A1" s="53" t="s">
        <v>159</v>
      </c>
    </row>
    <row r="3" spans="1:17">
      <c r="A3" s="1" t="s">
        <v>12</v>
      </c>
      <c r="B3" s="1" t="s">
        <v>58</v>
      </c>
      <c r="C3" s="1" t="s">
        <v>62</v>
      </c>
      <c r="D3" s="1" t="s">
        <v>161</v>
      </c>
      <c r="E3" s="1" t="s">
        <v>162</v>
      </c>
      <c r="F3" s="1" t="s">
        <v>21</v>
      </c>
    </row>
    <row r="4" spans="1:17">
      <c r="B4" s="1" t="s">
        <v>163</v>
      </c>
      <c r="C4" s="1" t="s">
        <v>164</v>
      </c>
      <c r="D4" s="1" t="s">
        <v>164</v>
      </c>
      <c r="E4" s="1" t="s">
        <v>156</v>
      </c>
      <c r="F4" s="1" t="s">
        <v>180</v>
      </c>
    </row>
    <row r="5" spans="1:17">
      <c r="A5" s="83"/>
      <c r="B5" s="81"/>
      <c r="C5" s="80"/>
      <c r="D5" s="80" t="s">
        <v>166</v>
      </c>
      <c r="E5" s="80" t="s">
        <v>166</v>
      </c>
      <c r="F5" s="42" t="str">
        <f>IF(C5="","",C5/9.81)</f>
        <v/>
      </c>
      <c r="I5" s="1" t="s">
        <v>176</v>
      </c>
      <c r="J5" s="88">
        <f>ROUND(2*PI()*SQRT(J26/K26),3)</f>
        <v>0.54700000000000004</v>
      </c>
      <c r="K5" s="1" t="s">
        <v>22</v>
      </c>
    </row>
    <row r="6" spans="1:17">
      <c r="A6" s="83"/>
      <c r="B6" s="81"/>
      <c r="C6" s="80"/>
      <c r="D6" s="80" t="s">
        <v>166</v>
      </c>
      <c r="E6" s="80" t="s">
        <v>166</v>
      </c>
      <c r="F6" s="42" t="str">
        <f t="shared" ref="F6:F11" si="0">IF(C6="","",C6/9.81)</f>
        <v/>
      </c>
      <c r="H6" s="1" t="s">
        <v>59</v>
      </c>
      <c r="I6" s="1" t="s">
        <v>160</v>
      </c>
      <c r="J6" s="82">
        <v>0.13300000000000001</v>
      </c>
      <c r="K6" s="1" t="s">
        <v>60</v>
      </c>
      <c r="L6" t="str">
        <f>CONCATENATE("inserire i valori corrispondenti a T = ",J5," s")</f>
        <v>inserire i valori corrispondenti a T = 0.547 s</v>
      </c>
    </row>
    <row r="7" spans="1:17">
      <c r="A7" s="83">
        <v>5</v>
      </c>
      <c r="B7" s="81">
        <v>16.399999999999999</v>
      </c>
      <c r="C7" s="80">
        <v>3041.8</v>
      </c>
      <c r="D7" s="80">
        <v>403.92955955133834</v>
      </c>
      <c r="E7" s="80">
        <v>429.7555411212478</v>
      </c>
      <c r="F7" s="42">
        <f t="shared" si="0"/>
        <v>310.07135575942914</v>
      </c>
      <c r="H7" s="1" t="s">
        <v>61</v>
      </c>
      <c r="I7" s="1" t="s">
        <v>160</v>
      </c>
      <c r="J7" s="82">
        <v>0.24</v>
      </c>
      <c r="K7" s="1" t="s">
        <v>60</v>
      </c>
    </row>
    <row r="8" spans="1:17">
      <c r="A8" s="83">
        <v>4</v>
      </c>
      <c r="B8" s="81">
        <v>13.2</v>
      </c>
      <c r="C8" s="80">
        <v>3184.1</v>
      </c>
      <c r="D8" s="80">
        <v>481.07550778707298</v>
      </c>
      <c r="E8" s="80">
        <v>514.17950936052921</v>
      </c>
      <c r="F8" s="42">
        <f t="shared" si="0"/>
        <v>324.57696228338426</v>
      </c>
    </row>
    <row r="9" spans="1:17">
      <c r="A9" s="83">
        <v>3</v>
      </c>
      <c r="B9" s="81">
        <v>10</v>
      </c>
      <c r="C9" s="80">
        <v>3184.1</v>
      </c>
      <c r="D9" s="80">
        <v>481.07550778707298</v>
      </c>
      <c r="E9" s="80">
        <v>514.17950936052921</v>
      </c>
      <c r="F9" s="42">
        <f t="shared" si="0"/>
        <v>324.57696228338426</v>
      </c>
      <c r="I9" s="1" t="s">
        <v>177</v>
      </c>
      <c r="J9" s="88">
        <f>ROUND(2*PI()*SQRT(J43/K43),3)</f>
        <v>0.53</v>
      </c>
      <c r="K9" s="1" t="s">
        <v>22</v>
      </c>
    </row>
    <row r="10" spans="1:17">
      <c r="A10" s="83">
        <v>2</v>
      </c>
      <c r="B10" s="81">
        <v>6.8</v>
      </c>
      <c r="C10" s="80">
        <v>3184.1</v>
      </c>
      <c r="D10" s="80">
        <v>481.07550778707298</v>
      </c>
      <c r="E10" s="80">
        <v>514.17950936052921</v>
      </c>
      <c r="F10" s="42">
        <f t="shared" si="0"/>
        <v>324.57696228338426</v>
      </c>
      <c r="H10" s="1" t="s">
        <v>59</v>
      </c>
      <c r="I10" s="1" t="s">
        <v>160</v>
      </c>
      <c r="J10" s="82">
        <v>0.13800000000000001</v>
      </c>
      <c r="K10" s="1" t="s">
        <v>60</v>
      </c>
      <c r="L10" t="str">
        <f>CONCATENATE("inserire i valori corrispondenti a T = ",J9," s")</f>
        <v>inserire i valori corrispondenti a T = 0.53 s</v>
      </c>
    </row>
    <row r="11" spans="1:17">
      <c r="A11" s="83">
        <v>1</v>
      </c>
      <c r="B11" s="81">
        <v>3.6</v>
      </c>
      <c r="C11" s="80">
        <v>2886.8</v>
      </c>
      <c r="D11" s="80">
        <v>616.8904602721849</v>
      </c>
      <c r="E11" s="80">
        <v>654.50881822687882</v>
      </c>
      <c r="F11" s="42">
        <f t="shared" si="0"/>
        <v>294.27115188583076</v>
      </c>
      <c r="H11" s="1" t="s">
        <v>61</v>
      </c>
      <c r="I11" s="1" t="s">
        <v>160</v>
      </c>
      <c r="J11" s="82">
        <v>0.23899999999999999</v>
      </c>
      <c r="K11" s="1" t="s">
        <v>60</v>
      </c>
    </row>
    <row r="14" spans="1:17">
      <c r="A14" s="3" t="s">
        <v>165</v>
      </c>
      <c r="D14" s="1" t="s">
        <v>160</v>
      </c>
      <c r="E14" s="82">
        <v>0.11899999999999999</v>
      </c>
      <c r="F14" s="1" t="s">
        <v>60</v>
      </c>
      <c r="L14" s="1"/>
      <c r="M14" s="90" t="s">
        <v>178</v>
      </c>
      <c r="N14" s="91"/>
      <c r="O14" s="91"/>
      <c r="P14" s="90" t="s">
        <v>179</v>
      </c>
      <c r="Q14" s="91"/>
    </row>
    <row r="15" spans="1:17">
      <c r="M15" s="91" t="str">
        <f>CONCATENATE("ag = ",J6, " g")</f>
        <v>ag = 0.133 g</v>
      </c>
      <c r="N15" s="91"/>
      <c r="O15" s="91"/>
      <c r="P15" s="91" t="str">
        <f>CONCATENATE("ag = ",J7, " g")</f>
        <v>ag = 0.24 g</v>
      </c>
      <c r="Q15" s="91"/>
    </row>
    <row r="16" spans="1:17">
      <c r="A16" s="12"/>
      <c r="B16" s="12"/>
      <c r="C16" s="12"/>
      <c r="D16" s="12"/>
      <c r="E16" s="12"/>
      <c r="F16" s="12"/>
      <c r="G16" s="12"/>
    </row>
    <row r="17" spans="1:17">
      <c r="A17" s="1" t="s">
        <v>12</v>
      </c>
      <c r="B17" s="1" t="s">
        <v>62</v>
      </c>
      <c r="C17" s="1" t="s">
        <v>58</v>
      </c>
      <c r="D17" s="1" t="s">
        <v>63</v>
      </c>
      <c r="E17" s="1" t="s">
        <v>64</v>
      </c>
      <c r="F17" s="1" t="s">
        <v>65</v>
      </c>
      <c r="G17" s="1" t="s">
        <v>157</v>
      </c>
      <c r="H17" s="1" t="s">
        <v>167</v>
      </c>
      <c r="I17" s="1" t="s">
        <v>168</v>
      </c>
      <c r="J17" s="1" t="s">
        <v>171</v>
      </c>
      <c r="K17" s="1" t="s">
        <v>172</v>
      </c>
      <c r="M17" s="1" t="s">
        <v>167</v>
      </c>
      <c r="N17" s="1" t="s">
        <v>168</v>
      </c>
      <c r="O17" s="1" t="s">
        <v>65</v>
      </c>
      <c r="P17" s="1" t="s">
        <v>167</v>
      </c>
      <c r="Q17" s="1" t="s">
        <v>168</v>
      </c>
    </row>
    <row r="18" spans="1:17">
      <c r="A18" s="1"/>
      <c r="B18" s="1" t="s">
        <v>164</v>
      </c>
      <c r="C18" s="1" t="s">
        <v>163</v>
      </c>
      <c r="D18" s="1" t="s">
        <v>169</v>
      </c>
      <c r="E18" s="1" t="s">
        <v>164</v>
      </c>
      <c r="F18" s="1" t="s">
        <v>164</v>
      </c>
      <c r="G18" s="1" t="s">
        <v>164</v>
      </c>
      <c r="H18" s="1" t="s">
        <v>170</v>
      </c>
      <c r="I18" s="1" t="s">
        <v>170</v>
      </c>
      <c r="J18" s="85" t="s">
        <v>173</v>
      </c>
      <c r="K18" s="1" t="s">
        <v>174</v>
      </c>
      <c r="M18" s="1" t="s">
        <v>170</v>
      </c>
      <c r="N18" s="1" t="s">
        <v>170</v>
      </c>
      <c r="O18" s="1" t="s">
        <v>164</v>
      </c>
      <c r="P18" s="1" t="s">
        <v>170</v>
      </c>
      <c r="Q18" s="1" t="s">
        <v>170</v>
      </c>
    </row>
    <row r="19" spans="1:17">
      <c r="A19" s="13" t="str">
        <f>IF(A5="","",A5)</f>
        <v/>
      </c>
      <c r="B19" s="84" t="str">
        <f>IF(C5="","",C5)</f>
        <v/>
      </c>
      <c r="C19" s="14" t="str">
        <f>IF(B5="","",B5)</f>
        <v/>
      </c>
      <c r="D19" s="55" t="str">
        <f>IF(B19="","",B19*C19)</f>
        <v/>
      </c>
      <c r="E19" s="84" t="str">
        <f>IF(A19="","",$B$28*D19/$D$26)</f>
        <v/>
      </c>
      <c r="F19" s="84" t="str">
        <f>IF(A19="","",E19)</f>
        <v/>
      </c>
      <c r="G19" s="84" t="str">
        <f>IF(D5="","",D5)</f>
        <v/>
      </c>
      <c r="H19" s="2" t="str">
        <f>IF(G19="","",F19/G19)</f>
        <v/>
      </c>
      <c r="I19" s="2" t="str">
        <f t="shared" ref="I19:I23" si="1">IF(H19="","",I20+H19)</f>
        <v/>
      </c>
      <c r="J19" s="2" t="str">
        <f>IF(B19="","",B19/9.81*I19^2/1000)</f>
        <v/>
      </c>
      <c r="K19" s="86" t="str">
        <f>IF(E19="","",E19*I19)</f>
        <v/>
      </c>
      <c r="M19" s="89" t="str">
        <f>IF(H19="","",H19*$J$6/$E$14)</f>
        <v/>
      </c>
      <c r="N19" s="89" t="str">
        <f>IF(I19="","",I19*$J$6/$E$14)</f>
        <v/>
      </c>
      <c r="O19" s="98" t="str">
        <f>IF(F19="","",F19*$J$6/$E$14)</f>
        <v/>
      </c>
      <c r="P19" s="92" t="str">
        <f>IF(H19="","",H19*$J$7/$E$14)</f>
        <v/>
      </c>
      <c r="Q19" s="89" t="str">
        <f>IF(I19="","",I19*$J$7/$E$14)</f>
        <v/>
      </c>
    </row>
    <row r="20" spans="1:17">
      <c r="A20" s="13" t="str">
        <f t="shared" ref="A20:A25" si="2">IF(A6="","",A6)</f>
        <v/>
      </c>
      <c r="B20" s="84" t="str">
        <f t="shared" ref="B20:B25" si="3">IF(C6="","",C6)</f>
        <v/>
      </c>
      <c r="C20" s="14" t="str">
        <f t="shared" ref="C20:C25" si="4">IF(B6="","",B6)</f>
        <v/>
      </c>
      <c r="D20" s="55" t="str">
        <f t="shared" ref="D20:D25" si="5">IF(B20="","",B20*C20)</f>
        <v/>
      </c>
      <c r="E20" s="84" t="str">
        <f t="shared" ref="E20:E25" si="6">IF(A20="","",$B$28*D20/$D$26)</f>
        <v/>
      </c>
      <c r="F20" s="84" t="str">
        <f>IF(A20="","",IF(F19="",0,F19)+E20)</f>
        <v/>
      </c>
      <c r="G20" s="84" t="str">
        <f t="shared" ref="G20:G25" si="7">IF(D6="","",D6)</f>
        <v/>
      </c>
      <c r="H20" s="2" t="str">
        <f t="shared" ref="H20:H25" si="8">IF(G20="","",F20/G20)</f>
        <v/>
      </c>
      <c r="I20" s="2" t="str">
        <f t="shared" si="1"/>
        <v/>
      </c>
      <c r="J20" s="2" t="str">
        <f t="shared" ref="J20:J25" si="9">IF(B20="","",B20/9.81*I20^2/1000)</f>
        <v/>
      </c>
      <c r="K20" s="86" t="str">
        <f t="shared" ref="K20:K25" si="10">IF(E20="","",E20*I20)</f>
        <v/>
      </c>
      <c r="M20" s="89" t="str">
        <f t="shared" ref="M20:M25" si="11">IF(H20="","",H20*$J$6/$E$14)</f>
        <v/>
      </c>
      <c r="N20" s="89" t="str">
        <f t="shared" ref="N20:N25" si="12">IF(I20="","",I20*$J$6/$E$14)</f>
        <v/>
      </c>
      <c r="O20" s="98" t="str">
        <f t="shared" ref="O20:O25" si="13">IF(F20="","",F20*$J$6/$E$14)</f>
        <v/>
      </c>
      <c r="P20" s="92" t="str">
        <f t="shared" ref="P20:Q25" si="14">IF(H20="","",H20*$J$7/$E$14)</f>
        <v/>
      </c>
      <c r="Q20" s="89" t="str">
        <f t="shared" si="14"/>
        <v/>
      </c>
    </row>
    <row r="21" spans="1:17">
      <c r="A21" s="13">
        <f t="shared" si="2"/>
        <v>5</v>
      </c>
      <c r="B21" s="84">
        <f t="shared" si="3"/>
        <v>3041.8</v>
      </c>
      <c r="C21" s="14">
        <f t="shared" si="4"/>
        <v>16.399999999999999</v>
      </c>
      <c r="D21" s="55">
        <f t="shared" si="5"/>
        <v>49885.52</v>
      </c>
      <c r="E21" s="84">
        <f t="shared" si="6"/>
        <v>501.37924862711537</v>
      </c>
      <c r="F21" s="84">
        <f t="shared" ref="F21:F25" si="15">IF(A21="","",IF(F20="",0,F20)+E21)</f>
        <v>501.37924862711537</v>
      </c>
      <c r="G21" s="84">
        <f t="shared" si="7"/>
        <v>403.92955955133834</v>
      </c>
      <c r="H21" s="2">
        <f t="shared" si="8"/>
        <v>1.2412541661571352</v>
      </c>
      <c r="I21" s="2">
        <f t="shared" si="1"/>
        <v>11.323294512287717</v>
      </c>
      <c r="J21" s="2">
        <f t="shared" si="9"/>
        <v>39.756418591029274</v>
      </c>
      <c r="K21" s="86">
        <f t="shared" si="10"/>
        <v>5677.2648945543542</v>
      </c>
      <c r="M21" s="89">
        <f t="shared" si="11"/>
        <v>1.3872840680579748</v>
      </c>
      <c r="N21" s="89">
        <f t="shared" si="12"/>
        <v>12.655446807850979</v>
      </c>
      <c r="O21" s="98">
        <f t="shared" si="13"/>
        <v>560.36504258324669</v>
      </c>
      <c r="P21" s="92">
        <f t="shared" si="14"/>
        <v>2.5033697468715332</v>
      </c>
      <c r="Q21" s="89">
        <f t="shared" si="14"/>
        <v>22.836896495370187</v>
      </c>
    </row>
    <row r="22" spans="1:17">
      <c r="A22" s="13">
        <f t="shared" si="2"/>
        <v>4</v>
      </c>
      <c r="B22" s="84">
        <f t="shared" si="3"/>
        <v>3184.1</v>
      </c>
      <c r="C22" s="14">
        <f t="shared" si="4"/>
        <v>13.2</v>
      </c>
      <c r="D22" s="55">
        <f t="shared" si="5"/>
        <v>42030.119999999995</v>
      </c>
      <c r="E22" s="84">
        <f t="shared" si="6"/>
        <v>422.42779037499241</v>
      </c>
      <c r="F22" s="84">
        <f t="shared" si="15"/>
        <v>923.80703900210779</v>
      </c>
      <c r="G22" s="84">
        <f t="shared" si="7"/>
        <v>481.07550778707298</v>
      </c>
      <c r="H22" s="2">
        <f t="shared" si="8"/>
        <v>1.9202953050999856</v>
      </c>
      <c r="I22" s="2">
        <f t="shared" si="1"/>
        <v>10.082040346130581</v>
      </c>
      <c r="J22" s="2">
        <f t="shared" si="9"/>
        <v>32.992448958645618</v>
      </c>
      <c r="K22" s="86">
        <f t="shared" si="10"/>
        <v>4258.9340258874654</v>
      </c>
      <c r="M22" s="89">
        <f t="shared" si="11"/>
        <v>2.1462123998176312</v>
      </c>
      <c r="N22" s="89">
        <f t="shared" si="12"/>
        <v>11.268162739793004</v>
      </c>
      <c r="O22" s="98">
        <f t="shared" si="13"/>
        <v>1032.4902200611793</v>
      </c>
      <c r="P22" s="92">
        <f t="shared" si="14"/>
        <v>3.8728644808739205</v>
      </c>
      <c r="Q22" s="89">
        <f t="shared" si="14"/>
        <v>20.333526748498652</v>
      </c>
    </row>
    <row r="23" spans="1:17">
      <c r="A23" s="13">
        <f t="shared" si="2"/>
        <v>3</v>
      </c>
      <c r="B23" s="84">
        <f t="shared" si="3"/>
        <v>3184.1</v>
      </c>
      <c r="C23" s="14">
        <f t="shared" si="4"/>
        <v>10</v>
      </c>
      <c r="D23" s="55">
        <f t="shared" si="5"/>
        <v>31841</v>
      </c>
      <c r="E23" s="84">
        <f t="shared" si="6"/>
        <v>320.02105331438821</v>
      </c>
      <c r="F23" s="84">
        <f t="shared" si="15"/>
        <v>1243.8280923164959</v>
      </c>
      <c r="G23" s="84">
        <f t="shared" si="7"/>
        <v>481.07550778707298</v>
      </c>
      <c r="H23" s="2">
        <f t="shared" si="8"/>
        <v>2.585515313465141</v>
      </c>
      <c r="I23" s="2">
        <f t="shared" si="1"/>
        <v>8.1617450410305956</v>
      </c>
      <c r="J23" s="2">
        <f t="shared" si="9"/>
        <v>21.621396418113651</v>
      </c>
      <c r="K23" s="86">
        <f t="shared" si="10"/>
        <v>2611.930244914096</v>
      </c>
      <c r="M23" s="89">
        <f t="shared" si="11"/>
        <v>2.8896935856375108</v>
      </c>
      <c r="N23" s="89">
        <f t="shared" si="12"/>
        <v>9.1219503399753723</v>
      </c>
      <c r="O23" s="98">
        <f t="shared" si="13"/>
        <v>1390.1608090596133</v>
      </c>
      <c r="P23" s="92">
        <f t="shared" si="14"/>
        <v>5.2144846658120487</v>
      </c>
      <c r="Q23" s="89">
        <f t="shared" si="14"/>
        <v>16.460662267624731</v>
      </c>
    </row>
    <row r="24" spans="1:17">
      <c r="A24" s="13">
        <f t="shared" si="2"/>
        <v>2</v>
      </c>
      <c r="B24" s="84">
        <f t="shared" si="3"/>
        <v>3184.1</v>
      </c>
      <c r="C24" s="14">
        <f t="shared" si="4"/>
        <v>6.8</v>
      </c>
      <c r="D24" s="55">
        <f t="shared" si="5"/>
        <v>21651.879999999997</v>
      </c>
      <c r="E24" s="84">
        <f t="shared" si="6"/>
        <v>217.61431625378395</v>
      </c>
      <c r="F24" s="84">
        <f t="shared" si="15"/>
        <v>1461.4424085702799</v>
      </c>
      <c r="G24" s="84">
        <f t="shared" si="7"/>
        <v>481.07550778707298</v>
      </c>
      <c r="H24" s="2">
        <f t="shared" si="8"/>
        <v>3.037864919153447</v>
      </c>
      <c r="I24" s="2">
        <f>IF(H24="","",I25+H24)</f>
        <v>5.5762297275654547</v>
      </c>
      <c r="J24" s="2">
        <f t="shared" si="9"/>
        <v>10.092505764003583</v>
      </c>
      <c r="K24" s="86">
        <f t="shared" si="10"/>
        <v>1213.4674194381803</v>
      </c>
      <c r="M24" s="89">
        <f t="shared" si="11"/>
        <v>3.3952607919950295</v>
      </c>
      <c r="N24" s="89">
        <f t="shared" si="12"/>
        <v>6.2322567543378611</v>
      </c>
      <c r="O24" s="98">
        <f t="shared" si="13"/>
        <v>1633.3768095785483</v>
      </c>
      <c r="P24" s="92">
        <f t="shared" si="14"/>
        <v>6.1267863915699765</v>
      </c>
      <c r="Q24" s="89">
        <f t="shared" si="14"/>
        <v>11.246177601812681</v>
      </c>
    </row>
    <row r="25" spans="1:17">
      <c r="A25" s="13">
        <f t="shared" si="2"/>
        <v>1</v>
      </c>
      <c r="B25" s="84">
        <f t="shared" si="3"/>
        <v>2886.8</v>
      </c>
      <c r="C25" s="14">
        <f t="shared" si="4"/>
        <v>3.6</v>
      </c>
      <c r="D25" s="55">
        <f t="shared" si="5"/>
        <v>10392.480000000001</v>
      </c>
      <c r="E25" s="84">
        <f t="shared" si="6"/>
        <v>104.45062642971997</v>
      </c>
      <c r="F25" s="84">
        <f t="shared" si="15"/>
        <v>1565.8930349999998</v>
      </c>
      <c r="G25" s="84">
        <f t="shared" si="7"/>
        <v>616.8904602721849</v>
      </c>
      <c r="H25" s="2">
        <f t="shared" si="8"/>
        <v>2.5383648084120076</v>
      </c>
      <c r="I25" s="2">
        <f>H25</f>
        <v>2.5383648084120076</v>
      </c>
      <c r="J25" s="2">
        <f t="shared" si="9"/>
        <v>1.8960761066062604</v>
      </c>
      <c r="K25" s="86">
        <f t="shared" si="10"/>
        <v>265.13379434579031</v>
      </c>
      <c r="M25" s="89">
        <f t="shared" si="11"/>
        <v>2.8369959623428325</v>
      </c>
      <c r="N25" s="89">
        <f t="shared" si="12"/>
        <v>2.8369959623428325</v>
      </c>
      <c r="O25" s="98">
        <f t="shared" si="13"/>
        <v>1750.1157450000001</v>
      </c>
      <c r="P25" s="92">
        <f t="shared" si="14"/>
        <v>5.1193912102427044</v>
      </c>
      <c r="Q25" s="89">
        <f t="shared" si="14"/>
        <v>5.1193912102427044</v>
      </c>
    </row>
    <row r="26" spans="1:17">
      <c r="A26" s="1" t="s">
        <v>15</v>
      </c>
      <c r="B26" s="54">
        <f>SUM(B19:B25)</f>
        <v>15480.900000000001</v>
      </c>
      <c r="C26" s="1"/>
      <c r="D26" s="54">
        <f>SUM(D19:D25)</f>
        <v>155801</v>
      </c>
      <c r="E26" s="43">
        <f>SUM(E19:E25)</f>
        <v>1565.8930349999998</v>
      </c>
      <c r="F26" s="1"/>
      <c r="J26" s="87">
        <f t="shared" ref="J26:K26" si="16">SUM(J19:J25)</f>
        <v>106.35884583839838</v>
      </c>
      <c r="K26" s="54">
        <f t="shared" si="16"/>
        <v>14026.730379139888</v>
      </c>
    </row>
    <row r="28" spans="1:17">
      <c r="A28" s="1" t="s">
        <v>66</v>
      </c>
      <c r="B28" s="42">
        <f>B26*E14*0.85</f>
        <v>1565.8930350000001</v>
      </c>
      <c r="F28" s="76"/>
    </row>
    <row r="31" spans="1:17">
      <c r="A31" s="3" t="s">
        <v>175</v>
      </c>
      <c r="D31" s="1" t="s">
        <v>160</v>
      </c>
      <c r="E31" s="82">
        <v>0.11899999999999999</v>
      </c>
      <c r="F31" s="1" t="s">
        <v>60</v>
      </c>
      <c r="L31" s="1"/>
      <c r="M31" s="90" t="s">
        <v>178</v>
      </c>
      <c r="N31" s="91"/>
      <c r="O31" s="91"/>
      <c r="P31" s="90" t="s">
        <v>179</v>
      </c>
      <c r="Q31" s="91"/>
    </row>
    <row r="32" spans="1:17">
      <c r="M32" s="91" t="str">
        <f>CONCATENATE("ag = ",J10, " g")</f>
        <v>ag = 0.138 g</v>
      </c>
      <c r="N32" s="91"/>
      <c r="O32" s="91"/>
      <c r="P32" s="91" t="str">
        <f>CONCATENATE("ag = ",J11, " g")</f>
        <v>ag = 0.239 g</v>
      </c>
      <c r="Q32" s="91"/>
    </row>
    <row r="33" spans="1:17">
      <c r="A33" s="12"/>
      <c r="B33" s="12"/>
      <c r="C33" s="12"/>
      <c r="D33" s="12"/>
      <c r="E33" s="12"/>
      <c r="F33" s="12"/>
      <c r="G33" s="12"/>
    </row>
    <row r="34" spans="1:17">
      <c r="A34" s="1" t="s">
        <v>12</v>
      </c>
      <c r="B34" s="1" t="s">
        <v>62</v>
      </c>
      <c r="C34" s="1" t="s">
        <v>58</v>
      </c>
      <c r="D34" s="1" t="s">
        <v>63</v>
      </c>
      <c r="E34" s="1" t="s">
        <v>64</v>
      </c>
      <c r="F34" s="1" t="s">
        <v>65</v>
      </c>
      <c r="G34" s="1" t="s">
        <v>157</v>
      </c>
      <c r="H34" s="1" t="s">
        <v>167</v>
      </c>
      <c r="I34" s="1" t="s">
        <v>168</v>
      </c>
      <c r="J34" s="1" t="s">
        <v>171</v>
      </c>
      <c r="K34" s="1" t="s">
        <v>172</v>
      </c>
      <c r="M34" s="1" t="s">
        <v>167</v>
      </c>
      <c r="N34" s="1" t="s">
        <v>168</v>
      </c>
      <c r="O34" s="1" t="s">
        <v>65</v>
      </c>
      <c r="P34" s="1" t="s">
        <v>167</v>
      </c>
      <c r="Q34" s="1" t="s">
        <v>168</v>
      </c>
    </row>
    <row r="35" spans="1:17">
      <c r="A35" s="1"/>
      <c r="B35" s="1" t="s">
        <v>164</v>
      </c>
      <c r="C35" s="1" t="s">
        <v>163</v>
      </c>
      <c r="D35" s="1" t="s">
        <v>169</v>
      </c>
      <c r="E35" s="1" t="s">
        <v>164</v>
      </c>
      <c r="F35" s="1" t="s">
        <v>164</v>
      </c>
      <c r="G35" s="1" t="s">
        <v>164</v>
      </c>
      <c r="H35" s="1" t="s">
        <v>170</v>
      </c>
      <c r="I35" s="1" t="s">
        <v>170</v>
      </c>
      <c r="J35" s="85" t="s">
        <v>173</v>
      </c>
      <c r="K35" s="1" t="s">
        <v>174</v>
      </c>
      <c r="M35" s="1" t="s">
        <v>170</v>
      </c>
      <c r="N35" s="1" t="s">
        <v>170</v>
      </c>
      <c r="O35" s="1" t="s">
        <v>164</v>
      </c>
      <c r="P35" s="1" t="s">
        <v>170</v>
      </c>
      <c r="Q35" s="1" t="s">
        <v>170</v>
      </c>
    </row>
    <row r="36" spans="1:17">
      <c r="A36" s="13" t="str">
        <f>IF(A5="","",A5)</f>
        <v/>
      </c>
      <c r="B36" s="84" t="str">
        <f>IF(C5="","",C5)</f>
        <v/>
      </c>
      <c r="C36" s="14" t="str">
        <f>IF(B5="","",B5)</f>
        <v/>
      </c>
      <c r="D36" s="55" t="str">
        <f>IF(B36="","",B36*C36)</f>
        <v/>
      </c>
      <c r="E36" s="84" t="str">
        <f>IF(A36="","",$B$45*D36/$D$43)</f>
        <v/>
      </c>
      <c r="F36" s="84" t="str">
        <f>IF(A36="","",E36)</f>
        <v/>
      </c>
      <c r="G36" s="84" t="str">
        <f>IF(E5="","",E5)</f>
        <v/>
      </c>
      <c r="H36" s="2" t="str">
        <f>IF(G36="","",F36/G36)</f>
        <v/>
      </c>
      <c r="I36" s="2" t="str">
        <f t="shared" ref="I36:I40" si="17">IF(H36="","",I37+H36)</f>
        <v/>
      </c>
      <c r="J36" s="2" t="str">
        <f>IF(B36="","",B36/9.81*I36^2/1000)</f>
        <v/>
      </c>
      <c r="K36" s="86" t="str">
        <f>IF(E36="","",E36*I36)</f>
        <v/>
      </c>
      <c r="M36" s="89" t="str">
        <f>IF(H36="","",H36*$J$10/$E$31)</f>
        <v/>
      </c>
      <c r="N36" s="89" t="str">
        <f>IF(I36="","",I36*$J$10/$E$31)</f>
        <v/>
      </c>
      <c r="O36" s="98" t="str">
        <f>IF(F36="","",F36*$J$10/$E$31)</f>
        <v/>
      </c>
      <c r="P36" s="92" t="str">
        <f>IF(H36="","",H36*$J$11/$E$14)</f>
        <v/>
      </c>
      <c r="Q36" s="89" t="str">
        <f t="shared" ref="Q36:Q42" si="18">IF(I36="","",I36*$J$11/$E$14)</f>
        <v/>
      </c>
    </row>
    <row r="37" spans="1:17">
      <c r="A37" s="13" t="str">
        <f t="shared" ref="A37:A42" si="19">IF(A6="","",A6)</f>
        <v/>
      </c>
      <c r="B37" s="84" t="str">
        <f t="shared" ref="B37:B42" si="20">IF(C6="","",C6)</f>
        <v/>
      </c>
      <c r="C37" s="14" t="str">
        <f t="shared" ref="C37:C42" si="21">IF(B6="","",B6)</f>
        <v/>
      </c>
      <c r="D37" s="55" t="str">
        <f t="shared" ref="D37:D42" si="22">IF(B37="","",B37*C37)</f>
        <v/>
      </c>
      <c r="E37" s="84" t="str">
        <f t="shared" ref="E37:E42" si="23">IF(A37="","",$B$45*D37/$D$43)</f>
        <v/>
      </c>
      <c r="F37" s="84" t="str">
        <f>IF(A37="","",IF(F36="",0,F36)+E37)</f>
        <v/>
      </c>
      <c r="G37" s="84" t="str">
        <f t="shared" ref="G37:G42" si="24">IF(E6="","",E6)</f>
        <v/>
      </c>
      <c r="H37" s="2" t="str">
        <f t="shared" ref="H37:H42" si="25">IF(G37="","",F37/G37)</f>
        <v/>
      </c>
      <c r="I37" s="2" t="str">
        <f t="shared" si="17"/>
        <v/>
      </c>
      <c r="J37" s="2" t="str">
        <f t="shared" ref="J37:J42" si="26">IF(B37="","",B37/9.81*I37^2/1000)</f>
        <v/>
      </c>
      <c r="K37" s="86" t="str">
        <f t="shared" ref="K37:K42" si="27">IF(E37="","",E37*I37)</f>
        <v/>
      </c>
      <c r="M37" s="89" t="str">
        <f t="shared" ref="M37:M42" si="28">IF(H37="","",H37*$J$10/$E$31)</f>
        <v/>
      </c>
      <c r="N37" s="89" t="str">
        <f t="shared" ref="N37:N42" si="29">IF(I37="","",I37*$J$10/$E$31)</f>
        <v/>
      </c>
      <c r="O37" s="98" t="str">
        <f t="shared" ref="O37:O42" si="30">IF(F37="","",F37*$J$10/$E$31)</f>
        <v/>
      </c>
      <c r="P37" s="92" t="str">
        <f t="shared" ref="P37:P42" si="31">IF(H37="","",H37*$J$11/$E$14)</f>
        <v/>
      </c>
      <c r="Q37" s="89" t="str">
        <f t="shared" si="18"/>
        <v/>
      </c>
    </row>
    <row r="38" spans="1:17">
      <c r="A38" s="13">
        <f t="shared" si="19"/>
        <v>5</v>
      </c>
      <c r="B38" s="84">
        <f t="shared" si="20"/>
        <v>3041.8</v>
      </c>
      <c r="C38" s="14">
        <f t="shared" si="21"/>
        <v>16.399999999999999</v>
      </c>
      <c r="D38" s="55">
        <f t="shared" si="22"/>
        <v>49885.52</v>
      </c>
      <c r="E38" s="84">
        <f t="shared" si="23"/>
        <v>501.37924862711537</v>
      </c>
      <c r="F38" s="84">
        <f t="shared" ref="F38:F42" si="32">IF(A38="","",IF(F37="",0,F37)+E38)</f>
        <v>501.37924862711537</v>
      </c>
      <c r="G38" s="84">
        <f t="shared" si="24"/>
        <v>429.7555411212478</v>
      </c>
      <c r="H38" s="2">
        <f t="shared" si="25"/>
        <v>1.1666615102134545</v>
      </c>
      <c r="I38" s="2">
        <f t="shared" si="17"/>
        <v>10.617129208099374</v>
      </c>
      <c r="J38" s="2">
        <f t="shared" si="26"/>
        <v>34.952307578797992</v>
      </c>
      <c r="K38" s="86">
        <f t="shared" si="27"/>
        <v>5323.2082649338645</v>
      </c>
      <c r="M38" s="89">
        <f t="shared" si="28"/>
        <v>1.3529351967181238</v>
      </c>
      <c r="N38" s="89">
        <f t="shared" si="29"/>
        <v>12.312301098468183</v>
      </c>
      <c r="O38" s="98">
        <f t="shared" si="30"/>
        <v>581.43139756757921</v>
      </c>
      <c r="P38" s="92">
        <f t="shared" si="31"/>
        <v>2.3431268986639968</v>
      </c>
      <c r="Q38" s="89">
        <f t="shared" si="18"/>
        <v>21.323477989376055</v>
      </c>
    </row>
    <row r="39" spans="1:17">
      <c r="A39" s="13">
        <f t="shared" si="19"/>
        <v>4</v>
      </c>
      <c r="B39" s="84">
        <f t="shared" si="20"/>
        <v>3184.1</v>
      </c>
      <c r="C39" s="14">
        <f t="shared" si="21"/>
        <v>13.2</v>
      </c>
      <c r="D39" s="55">
        <f t="shared" si="22"/>
        <v>42030.119999999995</v>
      </c>
      <c r="E39" s="84">
        <f t="shared" si="23"/>
        <v>422.42779037499241</v>
      </c>
      <c r="F39" s="84">
        <f t="shared" si="32"/>
        <v>923.80703900210779</v>
      </c>
      <c r="G39" s="84">
        <f t="shared" si="24"/>
        <v>514.17950936052921</v>
      </c>
      <c r="H39" s="2">
        <f t="shared" si="25"/>
        <v>1.7966624927372563</v>
      </c>
      <c r="I39" s="2">
        <f t="shared" si="17"/>
        <v>9.4504676978859194</v>
      </c>
      <c r="J39" s="2">
        <f t="shared" si="26"/>
        <v>28.988403340136887</v>
      </c>
      <c r="K39" s="86">
        <f t="shared" si="27"/>
        <v>3992.1401876281902</v>
      </c>
      <c r="M39" s="89">
        <f t="shared" si="28"/>
        <v>2.0835245714095914</v>
      </c>
      <c r="N39" s="89">
        <f t="shared" si="29"/>
        <v>10.95936590175006</v>
      </c>
      <c r="O39" s="98">
        <f t="shared" si="30"/>
        <v>1071.3056418679905</v>
      </c>
      <c r="P39" s="92">
        <f t="shared" si="31"/>
        <v>3.6084229896151618</v>
      </c>
      <c r="Q39" s="89">
        <f t="shared" si="18"/>
        <v>18.980351090712055</v>
      </c>
    </row>
    <row r="40" spans="1:17">
      <c r="A40" s="13">
        <f t="shared" si="19"/>
        <v>3</v>
      </c>
      <c r="B40" s="84">
        <f t="shared" si="20"/>
        <v>3184.1</v>
      </c>
      <c r="C40" s="14">
        <f t="shared" si="21"/>
        <v>10</v>
      </c>
      <c r="D40" s="55">
        <f t="shared" si="22"/>
        <v>31841</v>
      </c>
      <c r="E40" s="84">
        <f t="shared" si="23"/>
        <v>320.02105331438821</v>
      </c>
      <c r="F40" s="84">
        <f t="shared" si="32"/>
        <v>1243.8280923164959</v>
      </c>
      <c r="G40" s="84">
        <f t="shared" si="24"/>
        <v>514.17950936052921</v>
      </c>
      <c r="H40" s="2">
        <f t="shared" si="25"/>
        <v>2.4190541818039586</v>
      </c>
      <c r="I40" s="2">
        <f t="shared" si="17"/>
        <v>7.6538052051486636</v>
      </c>
      <c r="J40" s="2">
        <f t="shared" si="26"/>
        <v>19.013956728468148</v>
      </c>
      <c r="K40" s="86">
        <f t="shared" si="27"/>
        <v>2449.3788036148226</v>
      </c>
      <c r="M40" s="89">
        <f t="shared" si="28"/>
        <v>2.8052897234365242</v>
      </c>
      <c r="N40" s="89">
        <f t="shared" si="29"/>
        <v>8.8758413303404673</v>
      </c>
      <c r="O40" s="98">
        <f t="shared" si="30"/>
        <v>1442.4224936107264</v>
      </c>
      <c r="P40" s="92">
        <f t="shared" si="31"/>
        <v>4.8584365500096309</v>
      </c>
      <c r="Q40" s="89">
        <f t="shared" si="18"/>
        <v>15.371928101096897</v>
      </c>
    </row>
    <row r="41" spans="1:17">
      <c r="A41" s="13">
        <f t="shared" si="19"/>
        <v>2</v>
      </c>
      <c r="B41" s="84">
        <f t="shared" si="20"/>
        <v>3184.1</v>
      </c>
      <c r="C41" s="14">
        <f t="shared" si="21"/>
        <v>6.8</v>
      </c>
      <c r="D41" s="55">
        <f t="shared" si="22"/>
        <v>21651.879999999997</v>
      </c>
      <c r="E41" s="84">
        <f t="shared" si="23"/>
        <v>217.61431625378395</v>
      </c>
      <c r="F41" s="84">
        <f t="shared" si="32"/>
        <v>1461.4424085702799</v>
      </c>
      <c r="G41" s="84">
        <f t="shared" si="24"/>
        <v>514.17950936052921</v>
      </c>
      <c r="H41" s="2">
        <f t="shared" si="25"/>
        <v>2.8422805303693166</v>
      </c>
      <c r="I41" s="2">
        <f>IF(H41="","",I42+H41)</f>
        <v>5.234751023344705</v>
      </c>
      <c r="J41" s="2">
        <f t="shared" si="26"/>
        <v>8.8942585987677969</v>
      </c>
      <c r="K41" s="86">
        <f t="shared" si="27"/>
        <v>1139.1567647039537</v>
      </c>
      <c r="M41" s="89">
        <f t="shared" si="28"/>
        <v>3.2960900268148379</v>
      </c>
      <c r="N41" s="89">
        <f t="shared" si="29"/>
        <v>6.070551606903944</v>
      </c>
      <c r="O41" s="98">
        <f t="shared" si="30"/>
        <v>1694.781952795787</v>
      </c>
      <c r="P41" s="92">
        <f t="shared" si="31"/>
        <v>5.7084457710778711</v>
      </c>
      <c r="Q41" s="89">
        <f t="shared" si="18"/>
        <v>10.513491551087265</v>
      </c>
    </row>
    <row r="42" spans="1:17">
      <c r="A42" s="13">
        <f t="shared" si="19"/>
        <v>1</v>
      </c>
      <c r="B42" s="84">
        <f t="shared" si="20"/>
        <v>2886.8</v>
      </c>
      <c r="C42" s="14">
        <f t="shared" si="21"/>
        <v>3.6</v>
      </c>
      <c r="D42" s="55">
        <f t="shared" si="22"/>
        <v>10392.480000000001</v>
      </c>
      <c r="E42" s="84">
        <f t="shared" si="23"/>
        <v>104.45062642971997</v>
      </c>
      <c r="F42" s="84">
        <f t="shared" si="32"/>
        <v>1565.8930349999998</v>
      </c>
      <c r="G42" s="84">
        <f t="shared" si="24"/>
        <v>654.50881822687882</v>
      </c>
      <c r="H42" s="2">
        <f t="shared" si="25"/>
        <v>2.3924704929753888</v>
      </c>
      <c r="I42" s="2">
        <f>H42</f>
        <v>2.3924704929753888</v>
      </c>
      <c r="J42" s="2">
        <f t="shared" si="26"/>
        <v>1.6843830779316111</v>
      </c>
      <c r="K42" s="86">
        <f t="shared" si="27"/>
        <v>249.89504170590033</v>
      </c>
      <c r="M42" s="89">
        <f t="shared" si="28"/>
        <v>2.774461580089107</v>
      </c>
      <c r="N42" s="89">
        <f t="shared" si="29"/>
        <v>2.774461580089107</v>
      </c>
      <c r="O42" s="98">
        <f t="shared" si="30"/>
        <v>1815.90957</v>
      </c>
      <c r="P42" s="92">
        <f t="shared" si="31"/>
        <v>4.8050457800093946</v>
      </c>
      <c r="Q42" s="89">
        <f t="shared" si="18"/>
        <v>4.8050457800093946</v>
      </c>
    </row>
    <row r="43" spans="1:17">
      <c r="A43" s="1" t="s">
        <v>15</v>
      </c>
      <c r="B43" s="54">
        <f>SUM(B36:B42)</f>
        <v>15480.900000000001</v>
      </c>
      <c r="C43" s="1"/>
      <c r="D43" s="54">
        <f>SUM(D36:D42)</f>
        <v>155801</v>
      </c>
      <c r="E43" s="43">
        <f>SUM(E36:E42)</f>
        <v>1565.8930349999998</v>
      </c>
      <c r="F43" s="1"/>
      <c r="J43" s="87">
        <f t="shared" ref="J43" si="33">SUM(J36:J42)</f>
        <v>93.533309324102433</v>
      </c>
      <c r="K43" s="54">
        <f t="shared" ref="K43" si="34">SUM(K36:K42)</f>
        <v>13153.779062586731</v>
      </c>
    </row>
    <row r="45" spans="1:17">
      <c r="A45" s="1" t="s">
        <v>66</v>
      </c>
      <c r="B45" s="42">
        <f>B43*E31*0.85</f>
        <v>1565.8930350000001</v>
      </c>
      <c r="F45" s="7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64"/>
  <sheetViews>
    <sheetView topLeftCell="A31" workbookViewId="0">
      <selection activeCell="H3" sqref="H3"/>
    </sheetView>
  </sheetViews>
  <sheetFormatPr defaultRowHeight="15"/>
  <cols>
    <col min="1" max="1" width="15.7109375" style="7" customWidth="1"/>
    <col min="2" max="2" width="8.7109375" style="7" customWidth="1"/>
    <col min="3" max="4" width="6.7109375" style="7" customWidth="1"/>
    <col min="5" max="13" width="9.7109375" style="7" customWidth="1"/>
    <col min="14" max="14" width="2.7109375" style="7" customWidth="1"/>
    <col min="15" max="256" width="9" style="7"/>
    <col min="257" max="257" width="15.7109375" style="7" customWidth="1"/>
    <col min="258" max="265" width="8.7109375" style="7" customWidth="1"/>
    <col min="266" max="512" width="9" style="7"/>
    <col min="513" max="513" width="15.7109375" style="7" customWidth="1"/>
    <col min="514" max="521" width="8.7109375" style="7" customWidth="1"/>
    <col min="522" max="768" width="9" style="7"/>
    <col min="769" max="769" width="15.7109375" style="7" customWidth="1"/>
    <col min="770" max="777" width="8.7109375" style="7" customWidth="1"/>
    <col min="778" max="1024" width="9" style="7"/>
    <col min="1025" max="1025" width="15.7109375" style="7" customWidth="1"/>
    <col min="1026" max="1033" width="8.7109375" style="7" customWidth="1"/>
    <col min="1034" max="1280" width="9" style="7"/>
    <col min="1281" max="1281" width="15.7109375" style="7" customWidth="1"/>
    <col min="1282" max="1289" width="8.7109375" style="7" customWidth="1"/>
    <col min="1290" max="1536" width="9" style="7"/>
    <col min="1537" max="1537" width="15.7109375" style="7" customWidth="1"/>
    <col min="1538" max="1545" width="8.7109375" style="7" customWidth="1"/>
    <col min="1546" max="1792" width="9" style="7"/>
    <col min="1793" max="1793" width="15.7109375" style="7" customWidth="1"/>
    <col min="1794" max="1801" width="8.7109375" style="7" customWidth="1"/>
    <col min="1802" max="2048" width="9" style="7"/>
    <col min="2049" max="2049" width="15.7109375" style="7" customWidth="1"/>
    <col min="2050" max="2057" width="8.7109375" style="7" customWidth="1"/>
    <col min="2058" max="2304" width="9" style="7"/>
    <col min="2305" max="2305" width="15.7109375" style="7" customWidth="1"/>
    <col min="2306" max="2313" width="8.7109375" style="7" customWidth="1"/>
    <col min="2314" max="2560" width="9" style="7"/>
    <col min="2561" max="2561" width="15.7109375" style="7" customWidth="1"/>
    <col min="2562" max="2569" width="8.7109375" style="7" customWidth="1"/>
    <col min="2570" max="2816" width="9" style="7"/>
    <col min="2817" max="2817" width="15.7109375" style="7" customWidth="1"/>
    <col min="2818" max="2825" width="8.7109375" style="7" customWidth="1"/>
    <col min="2826" max="3072" width="9" style="7"/>
    <col min="3073" max="3073" width="15.7109375" style="7" customWidth="1"/>
    <col min="3074" max="3081" width="8.7109375" style="7" customWidth="1"/>
    <col min="3082" max="3328" width="9" style="7"/>
    <col min="3329" max="3329" width="15.7109375" style="7" customWidth="1"/>
    <col min="3330" max="3337" width="8.7109375" style="7" customWidth="1"/>
    <col min="3338" max="3584" width="9" style="7"/>
    <col min="3585" max="3585" width="15.7109375" style="7" customWidth="1"/>
    <col min="3586" max="3593" width="8.7109375" style="7" customWidth="1"/>
    <col min="3594" max="3840" width="9" style="7"/>
    <col min="3841" max="3841" width="15.7109375" style="7" customWidth="1"/>
    <col min="3842" max="3849" width="8.7109375" style="7" customWidth="1"/>
    <col min="3850" max="4096" width="9" style="7"/>
    <col min="4097" max="4097" width="15.7109375" style="7" customWidth="1"/>
    <col min="4098" max="4105" width="8.7109375" style="7" customWidth="1"/>
    <col min="4106" max="4352" width="9" style="7"/>
    <col min="4353" max="4353" width="15.7109375" style="7" customWidth="1"/>
    <col min="4354" max="4361" width="8.7109375" style="7" customWidth="1"/>
    <col min="4362" max="4608" width="9" style="7"/>
    <col min="4609" max="4609" width="15.7109375" style="7" customWidth="1"/>
    <col min="4610" max="4617" width="8.7109375" style="7" customWidth="1"/>
    <col min="4618" max="4864" width="9" style="7"/>
    <col min="4865" max="4865" width="15.7109375" style="7" customWidth="1"/>
    <col min="4866" max="4873" width="8.7109375" style="7" customWidth="1"/>
    <col min="4874" max="5120" width="9" style="7"/>
    <col min="5121" max="5121" width="15.7109375" style="7" customWidth="1"/>
    <col min="5122" max="5129" width="8.7109375" style="7" customWidth="1"/>
    <col min="5130" max="5376" width="9" style="7"/>
    <col min="5377" max="5377" width="15.7109375" style="7" customWidth="1"/>
    <col min="5378" max="5385" width="8.7109375" style="7" customWidth="1"/>
    <col min="5386" max="5632" width="9" style="7"/>
    <col min="5633" max="5633" width="15.7109375" style="7" customWidth="1"/>
    <col min="5634" max="5641" width="8.7109375" style="7" customWidth="1"/>
    <col min="5642" max="5888" width="9" style="7"/>
    <col min="5889" max="5889" width="15.7109375" style="7" customWidth="1"/>
    <col min="5890" max="5897" width="8.7109375" style="7" customWidth="1"/>
    <col min="5898" max="6144" width="9" style="7"/>
    <col min="6145" max="6145" width="15.7109375" style="7" customWidth="1"/>
    <col min="6146" max="6153" width="8.7109375" style="7" customWidth="1"/>
    <col min="6154" max="6400" width="9" style="7"/>
    <col min="6401" max="6401" width="15.7109375" style="7" customWidth="1"/>
    <col min="6402" max="6409" width="8.7109375" style="7" customWidth="1"/>
    <col min="6410" max="6656" width="9" style="7"/>
    <col min="6657" max="6657" width="15.7109375" style="7" customWidth="1"/>
    <col min="6658" max="6665" width="8.7109375" style="7" customWidth="1"/>
    <col min="6666" max="6912" width="9" style="7"/>
    <col min="6913" max="6913" width="15.7109375" style="7" customWidth="1"/>
    <col min="6914" max="6921" width="8.7109375" style="7" customWidth="1"/>
    <col min="6922" max="7168" width="9" style="7"/>
    <col min="7169" max="7169" width="15.7109375" style="7" customWidth="1"/>
    <col min="7170" max="7177" width="8.7109375" style="7" customWidth="1"/>
    <col min="7178" max="7424" width="9" style="7"/>
    <col min="7425" max="7425" width="15.7109375" style="7" customWidth="1"/>
    <col min="7426" max="7433" width="8.7109375" style="7" customWidth="1"/>
    <col min="7434" max="7680" width="9" style="7"/>
    <col min="7681" max="7681" width="15.7109375" style="7" customWidth="1"/>
    <col min="7682" max="7689" width="8.7109375" style="7" customWidth="1"/>
    <col min="7690" max="7936" width="9" style="7"/>
    <col min="7937" max="7937" width="15.7109375" style="7" customWidth="1"/>
    <col min="7938" max="7945" width="8.7109375" style="7" customWidth="1"/>
    <col min="7946" max="8192" width="9" style="7"/>
    <col min="8193" max="8193" width="15.7109375" style="7" customWidth="1"/>
    <col min="8194" max="8201" width="8.7109375" style="7" customWidth="1"/>
    <col min="8202" max="8448" width="9" style="7"/>
    <col min="8449" max="8449" width="15.7109375" style="7" customWidth="1"/>
    <col min="8450" max="8457" width="8.7109375" style="7" customWidth="1"/>
    <col min="8458" max="8704" width="9" style="7"/>
    <col min="8705" max="8705" width="15.7109375" style="7" customWidth="1"/>
    <col min="8706" max="8713" width="8.7109375" style="7" customWidth="1"/>
    <col min="8714" max="8960" width="9" style="7"/>
    <col min="8961" max="8961" width="15.7109375" style="7" customWidth="1"/>
    <col min="8962" max="8969" width="8.7109375" style="7" customWidth="1"/>
    <col min="8970" max="9216" width="9" style="7"/>
    <col min="9217" max="9217" width="15.7109375" style="7" customWidth="1"/>
    <col min="9218" max="9225" width="8.7109375" style="7" customWidth="1"/>
    <col min="9226" max="9472" width="9" style="7"/>
    <col min="9473" max="9473" width="15.7109375" style="7" customWidth="1"/>
    <col min="9474" max="9481" width="8.7109375" style="7" customWidth="1"/>
    <col min="9482" max="9728" width="9" style="7"/>
    <col min="9729" max="9729" width="15.7109375" style="7" customWidth="1"/>
    <col min="9730" max="9737" width="8.7109375" style="7" customWidth="1"/>
    <col min="9738" max="9984" width="9" style="7"/>
    <col min="9985" max="9985" width="15.7109375" style="7" customWidth="1"/>
    <col min="9986" max="9993" width="8.7109375" style="7" customWidth="1"/>
    <col min="9994" max="10240" width="9" style="7"/>
    <col min="10241" max="10241" width="15.7109375" style="7" customWidth="1"/>
    <col min="10242" max="10249" width="8.7109375" style="7" customWidth="1"/>
    <col min="10250" max="10496" width="9" style="7"/>
    <col min="10497" max="10497" width="15.7109375" style="7" customWidth="1"/>
    <col min="10498" max="10505" width="8.7109375" style="7" customWidth="1"/>
    <col min="10506" max="10752" width="9" style="7"/>
    <col min="10753" max="10753" width="15.7109375" style="7" customWidth="1"/>
    <col min="10754" max="10761" width="8.7109375" style="7" customWidth="1"/>
    <col min="10762" max="11008" width="9" style="7"/>
    <col min="11009" max="11009" width="15.7109375" style="7" customWidth="1"/>
    <col min="11010" max="11017" width="8.7109375" style="7" customWidth="1"/>
    <col min="11018" max="11264" width="9" style="7"/>
    <col min="11265" max="11265" width="15.7109375" style="7" customWidth="1"/>
    <col min="11266" max="11273" width="8.7109375" style="7" customWidth="1"/>
    <col min="11274" max="11520" width="9" style="7"/>
    <col min="11521" max="11521" width="15.7109375" style="7" customWidth="1"/>
    <col min="11522" max="11529" width="8.7109375" style="7" customWidth="1"/>
    <col min="11530" max="11776" width="9" style="7"/>
    <col min="11777" max="11777" width="15.7109375" style="7" customWidth="1"/>
    <col min="11778" max="11785" width="8.7109375" style="7" customWidth="1"/>
    <col min="11786" max="12032" width="9" style="7"/>
    <col min="12033" max="12033" width="15.7109375" style="7" customWidth="1"/>
    <col min="12034" max="12041" width="8.7109375" style="7" customWidth="1"/>
    <col min="12042" max="12288" width="9" style="7"/>
    <col min="12289" max="12289" width="15.7109375" style="7" customWidth="1"/>
    <col min="12290" max="12297" width="8.7109375" style="7" customWidth="1"/>
    <col min="12298" max="12544" width="9" style="7"/>
    <col min="12545" max="12545" width="15.7109375" style="7" customWidth="1"/>
    <col min="12546" max="12553" width="8.7109375" style="7" customWidth="1"/>
    <col min="12554" max="12800" width="9" style="7"/>
    <col min="12801" max="12801" width="15.7109375" style="7" customWidth="1"/>
    <col min="12802" max="12809" width="8.7109375" style="7" customWidth="1"/>
    <col min="12810" max="13056" width="9" style="7"/>
    <col min="13057" max="13057" width="15.7109375" style="7" customWidth="1"/>
    <col min="13058" max="13065" width="8.7109375" style="7" customWidth="1"/>
    <col min="13066" max="13312" width="9" style="7"/>
    <col min="13313" max="13313" width="15.7109375" style="7" customWidth="1"/>
    <col min="13314" max="13321" width="8.7109375" style="7" customWidth="1"/>
    <col min="13322" max="13568" width="9" style="7"/>
    <col min="13569" max="13569" width="15.7109375" style="7" customWidth="1"/>
    <col min="13570" max="13577" width="8.7109375" style="7" customWidth="1"/>
    <col min="13578" max="13824" width="9" style="7"/>
    <col min="13825" max="13825" width="15.7109375" style="7" customWidth="1"/>
    <col min="13826" max="13833" width="8.7109375" style="7" customWidth="1"/>
    <col min="13834" max="14080" width="9" style="7"/>
    <col min="14081" max="14081" width="15.7109375" style="7" customWidth="1"/>
    <col min="14082" max="14089" width="8.7109375" style="7" customWidth="1"/>
    <col min="14090" max="14336" width="9" style="7"/>
    <col min="14337" max="14337" width="15.7109375" style="7" customWidth="1"/>
    <col min="14338" max="14345" width="8.7109375" style="7" customWidth="1"/>
    <col min="14346" max="14592" width="9" style="7"/>
    <col min="14593" max="14593" width="15.7109375" style="7" customWidth="1"/>
    <col min="14594" max="14601" width="8.7109375" style="7" customWidth="1"/>
    <col min="14602" max="14848" width="9" style="7"/>
    <col min="14849" max="14849" width="15.7109375" style="7" customWidth="1"/>
    <col min="14850" max="14857" width="8.7109375" style="7" customWidth="1"/>
    <col min="14858" max="15104" width="9" style="7"/>
    <col min="15105" max="15105" width="15.7109375" style="7" customWidth="1"/>
    <col min="15106" max="15113" width="8.7109375" style="7" customWidth="1"/>
    <col min="15114" max="15360" width="9" style="7"/>
    <col min="15361" max="15361" width="15.7109375" style="7" customWidth="1"/>
    <col min="15362" max="15369" width="8.7109375" style="7" customWidth="1"/>
    <col min="15370" max="15616" width="9" style="7"/>
    <col min="15617" max="15617" width="15.7109375" style="7" customWidth="1"/>
    <col min="15618" max="15625" width="8.7109375" style="7" customWidth="1"/>
    <col min="15626" max="15872" width="9" style="7"/>
    <col min="15873" max="15873" width="15.7109375" style="7" customWidth="1"/>
    <col min="15874" max="15881" width="8.7109375" style="7" customWidth="1"/>
    <col min="15882" max="16128" width="9" style="7"/>
    <col min="16129" max="16129" width="15.7109375" style="7" customWidth="1"/>
    <col min="16130" max="16137" width="8.7109375" style="7" customWidth="1"/>
    <col min="16138" max="16384" width="9" style="7"/>
  </cols>
  <sheetData>
    <row r="1" spans="1:15" ht="15.75">
      <c r="A1" s="56" t="s">
        <v>67</v>
      </c>
    </row>
    <row r="3" spans="1:15">
      <c r="A3" s="7" t="s">
        <v>198</v>
      </c>
      <c r="G3" s="8" t="s">
        <v>196</v>
      </c>
      <c r="H3" s="97" t="s">
        <v>197</v>
      </c>
      <c r="J3" s="8" t="s">
        <v>68</v>
      </c>
      <c r="K3" s="8" t="str">
        <f>IF(H3="Classe A","alta","media")</f>
        <v>alta</v>
      </c>
    </row>
    <row r="4" spans="1:15">
      <c r="A4" s="7" t="s">
        <v>199</v>
      </c>
    </row>
    <row r="6" spans="1:15" ht="15.75">
      <c r="A6" s="56" t="s">
        <v>69</v>
      </c>
      <c r="J6" s="7" t="s">
        <v>118</v>
      </c>
    </row>
    <row r="7" spans="1:15">
      <c r="D7" s="64" t="s">
        <v>141</v>
      </c>
      <c r="E7" s="8" t="s">
        <v>195</v>
      </c>
      <c r="J7" s="8" t="s">
        <v>154</v>
      </c>
      <c r="K7" s="44">
        <v>4.0999999999999996</v>
      </c>
      <c r="L7" s="7" t="s">
        <v>21</v>
      </c>
    </row>
    <row r="8" spans="1:15">
      <c r="D8" s="57"/>
    </row>
    <row r="9" spans="1:15">
      <c r="A9" s="6" t="s">
        <v>70</v>
      </c>
      <c r="E9" s="72" t="s">
        <v>137</v>
      </c>
      <c r="F9" s="67"/>
      <c r="G9" s="67"/>
      <c r="H9" s="72" t="s">
        <v>87</v>
      </c>
      <c r="I9" s="67"/>
      <c r="J9" s="72" t="s">
        <v>135</v>
      </c>
      <c r="K9" s="67"/>
      <c r="L9" s="67"/>
      <c r="M9" s="67"/>
    </row>
    <row r="10" spans="1:15">
      <c r="A10" s="58" t="s">
        <v>138</v>
      </c>
      <c r="B10" s="58" t="s">
        <v>128</v>
      </c>
      <c r="C10" s="58" t="s">
        <v>71</v>
      </c>
      <c r="D10" s="58" t="s">
        <v>72</v>
      </c>
      <c r="E10" s="71" t="s">
        <v>148</v>
      </c>
      <c r="F10" s="58" t="s">
        <v>149</v>
      </c>
      <c r="H10" s="71" t="s">
        <v>150</v>
      </c>
      <c r="I10" s="58" t="s">
        <v>151</v>
      </c>
      <c r="J10" s="73" t="s">
        <v>134</v>
      </c>
      <c r="K10" s="58" t="s">
        <v>148</v>
      </c>
      <c r="L10" s="58" t="s">
        <v>149</v>
      </c>
      <c r="M10" s="8" t="s">
        <v>152</v>
      </c>
      <c r="O10" s="59" t="s">
        <v>153</v>
      </c>
    </row>
    <row r="11" spans="1:15">
      <c r="A11" s="58" t="str">
        <f>IF(Rayleigh!A5="","",Rayleigh!A5)</f>
        <v/>
      </c>
      <c r="B11" s="66" t="str">
        <f>IF(Rayleigh!O19="","",Rayleigh!O19)</f>
        <v/>
      </c>
      <c r="C11" s="11" t="str">
        <f>IF(B11="","",Rayleigh!B5-Rayleigh!B6)</f>
        <v/>
      </c>
      <c r="D11" s="11" t="str">
        <f>IF(Rigidezze!K17="","",Rigidezze!K17)</f>
        <v/>
      </c>
      <c r="E11" s="69" t="str">
        <f t="shared" ref="E11:E16" si="0">IF(D11="","",B11/D11)</f>
        <v/>
      </c>
      <c r="F11" s="9" t="str">
        <f t="shared" ref="F11:F15" si="1">IF(D11="","",E11*C11*0.5)</f>
        <v/>
      </c>
      <c r="H11" s="69" t="str">
        <f t="shared" ref="H11:H12" si="2">IF(D11="","",(IF(F10="",0,F10)+F11)/2)</f>
        <v/>
      </c>
      <c r="I11" s="9" t="str">
        <f t="shared" ref="I11:I16" si="3">IF(D11="","",2*H11/$K$7)</f>
        <v/>
      </c>
      <c r="J11" s="74"/>
      <c r="K11" s="9" t="str">
        <f t="shared" ref="K11:K17" si="4">IF(D11="","",J11*E11)</f>
        <v/>
      </c>
      <c r="L11" s="9" t="str">
        <f t="shared" ref="L11:L16" si="5">IF(D11="","",K11*C11*0.5)</f>
        <v/>
      </c>
      <c r="M11" s="9" t="str">
        <f t="shared" ref="M11:M16" si="6">IF(D11="","",IF(M10="",0,M10)+I11)</f>
        <v/>
      </c>
      <c r="O11" s="60" t="s">
        <v>119</v>
      </c>
    </row>
    <row r="12" spans="1:15">
      <c r="A12" s="58" t="str">
        <f>IF(Rayleigh!A6="","",Rayleigh!A6)</f>
        <v/>
      </c>
      <c r="B12" s="66" t="str">
        <f>IF(Rayleigh!O20="","",Rayleigh!O20)</f>
        <v/>
      </c>
      <c r="C12" s="11" t="str">
        <f>IF(B12="","",Rayleigh!B6-Rayleigh!B7)</f>
        <v/>
      </c>
      <c r="D12" s="11" t="str">
        <f>IF(Rigidezze!K18="","",Rigidezze!K18)</f>
        <v/>
      </c>
      <c r="E12" s="69" t="str">
        <f t="shared" si="0"/>
        <v/>
      </c>
      <c r="F12" s="9" t="str">
        <f t="shared" si="1"/>
        <v/>
      </c>
      <c r="H12" s="69" t="str">
        <f t="shared" si="2"/>
        <v/>
      </c>
      <c r="I12" s="9" t="str">
        <f t="shared" si="3"/>
        <v/>
      </c>
      <c r="J12" s="74"/>
      <c r="K12" s="9" t="str">
        <f t="shared" si="4"/>
        <v/>
      </c>
      <c r="L12" s="9" t="str">
        <f t="shared" si="5"/>
        <v/>
      </c>
      <c r="M12" s="9" t="str">
        <f t="shared" si="6"/>
        <v/>
      </c>
      <c r="O12" s="60" t="s">
        <v>120</v>
      </c>
    </row>
    <row r="13" spans="1:15">
      <c r="A13" s="58">
        <f>IF(Rayleigh!A7="","",Rayleigh!A7)</f>
        <v>5</v>
      </c>
      <c r="B13" s="66">
        <f>IF(Rayleigh!O21="","",Rayleigh!O21)</f>
        <v>560.36504258324669</v>
      </c>
      <c r="C13" s="11">
        <f>IF(B13="","",Rayleigh!B7-Rayleigh!B8)</f>
        <v>3.1999999999999993</v>
      </c>
      <c r="D13" s="11">
        <f>IF(Rigidezze!K19="","",Rigidezze!K19)</f>
        <v>14.765881388644726</v>
      </c>
      <c r="E13" s="69">
        <f t="shared" si="0"/>
        <v>37.949989427260284</v>
      </c>
      <c r="F13" s="9">
        <f t="shared" si="1"/>
        <v>60.719983083616441</v>
      </c>
      <c r="H13" s="69">
        <f>IF(D13="","",(IF(F12="",0,F12)+F13)/2)</f>
        <v>30.35999154180822</v>
      </c>
      <c r="I13" s="9">
        <f t="shared" si="3"/>
        <v>14.809751971613768</v>
      </c>
      <c r="J13" s="74">
        <v>0.6</v>
      </c>
      <c r="K13" s="9">
        <f t="shared" si="4"/>
        <v>22.769993656356171</v>
      </c>
      <c r="L13" s="9">
        <f t="shared" si="5"/>
        <v>36.431989850169863</v>
      </c>
      <c r="M13" s="9">
        <f t="shared" si="6"/>
        <v>14.809751971613768</v>
      </c>
    </row>
    <row r="14" spans="1:15">
      <c r="A14" s="58">
        <f>IF(Rayleigh!A8="","",Rayleigh!A8)</f>
        <v>4</v>
      </c>
      <c r="B14" s="66">
        <f>IF(Rayleigh!O22="","",Rayleigh!O22)</f>
        <v>1032.4902200611793</v>
      </c>
      <c r="C14" s="11">
        <f>IF(B14="","",Rayleigh!B8-Rayleigh!B9)</f>
        <v>3.1999999999999993</v>
      </c>
      <c r="D14" s="11">
        <f>IF(Rigidezze!K20="","",Rigidezze!K20)</f>
        <v>14.516932350579236</v>
      </c>
      <c r="E14" s="69">
        <f t="shared" si="0"/>
        <v>71.123168113405328</v>
      </c>
      <c r="F14" s="9">
        <f t="shared" si="1"/>
        <v>113.7970689814485</v>
      </c>
      <c r="H14" s="69">
        <f t="shared" ref="H14:H17" si="7">IF(D14="","",(IF(F13="",0,F13)+F14)/2)</f>
        <v>87.258526032532473</v>
      </c>
      <c r="I14" s="9">
        <f t="shared" si="3"/>
        <v>42.565134650015843</v>
      </c>
      <c r="J14" s="74">
        <v>0.6</v>
      </c>
      <c r="K14" s="9">
        <f t="shared" si="4"/>
        <v>42.673900868043198</v>
      </c>
      <c r="L14" s="9">
        <f t="shared" si="5"/>
        <v>68.278241388869105</v>
      </c>
      <c r="M14" s="9">
        <f t="shared" si="6"/>
        <v>57.374886621629614</v>
      </c>
    </row>
    <row r="15" spans="1:15">
      <c r="A15" s="58">
        <f>IF(Rayleigh!A9="","",Rayleigh!A9)</f>
        <v>3</v>
      </c>
      <c r="B15" s="66">
        <f>IF(Rayleigh!O23="","",Rayleigh!O23)</f>
        <v>1390.1608090596133</v>
      </c>
      <c r="C15" s="11">
        <f>IF(B15="","",Rayleigh!B9-Rayleigh!B10)</f>
        <v>3.2</v>
      </c>
      <c r="D15" s="11">
        <f>IF(Rigidezze!K21="","",Rigidezze!K21)</f>
        <v>14.516932350579236</v>
      </c>
      <c r="E15" s="69">
        <f t="shared" si="0"/>
        <v>95.761334108865285</v>
      </c>
      <c r="F15" s="9">
        <f t="shared" si="1"/>
        <v>153.21813457418446</v>
      </c>
      <c r="H15" s="69">
        <f t="shared" si="7"/>
        <v>133.50760177781649</v>
      </c>
      <c r="I15" s="9">
        <f t="shared" si="3"/>
        <v>65.125659403812932</v>
      </c>
      <c r="J15" s="74">
        <v>0.6</v>
      </c>
      <c r="K15" s="9">
        <f t="shared" si="4"/>
        <v>57.456800465319169</v>
      </c>
      <c r="L15" s="9">
        <f t="shared" si="5"/>
        <v>91.930880744510674</v>
      </c>
      <c r="M15" s="9">
        <f t="shared" si="6"/>
        <v>122.50054602544255</v>
      </c>
    </row>
    <row r="16" spans="1:15">
      <c r="A16" s="58">
        <f>IF(Rayleigh!A10="","",Rayleigh!A10)</f>
        <v>2</v>
      </c>
      <c r="B16" s="66">
        <f>IF(Rayleigh!O24="","",Rayleigh!O24)</f>
        <v>1633.3768095785483</v>
      </c>
      <c r="C16" s="11">
        <f>IF(B16="","",Rayleigh!B10-Rayleigh!B11)</f>
        <v>3.1999999999999997</v>
      </c>
      <c r="D16" s="11">
        <f>IF(Rigidezze!K22="","",Rigidezze!K22)</f>
        <v>14.516932350579236</v>
      </c>
      <c r="E16" s="69">
        <f t="shared" si="0"/>
        <v>112.51528698577806</v>
      </c>
      <c r="F16" s="9">
        <f>IF(D16="","",E16*C16*0.5)</f>
        <v>180.02445917724489</v>
      </c>
      <c r="H16" s="69">
        <f t="shared" si="7"/>
        <v>166.62129687571468</v>
      </c>
      <c r="I16" s="9">
        <f t="shared" si="3"/>
        <v>81.278681402787655</v>
      </c>
      <c r="J16" s="74">
        <v>0.6</v>
      </c>
      <c r="K16" s="9">
        <f t="shared" si="4"/>
        <v>67.509172191466831</v>
      </c>
      <c r="L16" s="9">
        <f t="shared" si="5"/>
        <v>108.01467550634692</v>
      </c>
      <c r="M16" s="9">
        <f t="shared" si="6"/>
        <v>203.7792274282302</v>
      </c>
      <c r="O16" s="75" t="s">
        <v>144</v>
      </c>
    </row>
    <row r="17" spans="1:15">
      <c r="A17" s="58" t="str">
        <f>IF(Rayleigh!A11="","",CONCATENATE(Rayleigh!A11, " testa"))</f>
        <v>1 testa</v>
      </c>
      <c r="B17" s="66">
        <f>IF(Rayleigh!O25="","",Rayleigh!O25)</f>
        <v>1750.1157450000001</v>
      </c>
      <c r="C17" s="11">
        <f>IF(B17="","",Rayleigh!B11)</f>
        <v>3.6</v>
      </c>
      <c r="D17" s="11">
        <f>IF(Rigidezze!K23="","",Rigidezze!K23)</f>
        <v>14.932940733669676</v>
      </c>
      <c r="E17" s="69">
        <f>IF(D17="","",B17/D17)</f>
        <v>117.19833194368542</v>
      </c>
      <c r="F17" s="9">
        <f>IF(D17="","",E17*C17*0.4)</f>
        <v>168.76559799890703</v>
      </c>
      <c r="H17" s="69">
        <f t="shared" si="7"/>
        <v>174.39502858807595</v>
      </c>
      <c r="I17" s="9">
        <f>IF(D17="","",2*H17/$K$7)</f>
        <v>85.070745652719978</v>
      </c>
      <c r="J17" s="74">
        <v>0.8</v>
      </c>
      <c r="K17" s="9">
        <f t="shared" si="4"/>
        <v>93.758665554948337</v>
      </c>
      <c r="L17" s="9">
        <f>IF(D17="","",K17*C17*0.4)</f>
        <v>135.0124783991256</v>
      </c>
      <c r="M17" s="9">
        <f>IF(D17="","",IF(M16="",0,M16)+I17)</f>
        <v>288.84997308095018</v>
      </c>
      <c r="O17" s="75" t="s">
        <v>145</v>
      </c>
    </row>
    <row r="18" spans="1:15">
      <c r="A18" s="8" t="str">
        <f>CONCATENATE(Rayleigh!A11," piede")</f>
        <v>1 piede</v>
      </c>
      <c r="B18" s="8"/>
      <c r="C18" s="8"/>
      <c r="D18" s="9"/>
      <c r="E18" s="70"/>
      <c r="F18" s="9">
        <f>IF(D17="","",E17*C17*0.6)</f>
        <v>253.14839699836051</v>
      </c>
      <c r="H18" s="70"/>
      <c r="J18" s="69"/>
      <c r="K18" s="61"/>
      <c r="L18" s="9">
        <f>IF(D17="","",K17*C17*0.6)</f>
        <v>202.5187175986884</v>
      </c>
      <c r="M18" s="9"/>
      <c r="N18" s="8"/>
      <c r="O18" s="75" t="s">
        <v>142</v>
      </c>
    </row>
    <row r="19" spans="1:15">
      <c r="A19" s="8"/>
      <c r="B19" s="8"/>
      <c r="C19" s="8"/>
      <c r="D19" s="9"/>
      <c r="F19" s="9"/>
      <c r="I19" s="9"/>
      <c r="J19" s="61"/>
      <c r="L19" s="9"/>
      <c r="M19" s="8"/>
      <c r="N19" s="9"/>
    </row>
    <row r="20" spans="1:15">
      <c r="A20" s="8"/>
      <c r="B20" s="8"/>
      <c r="C20" s="8"/>
      <c r="D20" s="9"/>
      <c r="F20" s="9"/>
      <c r="I20" s="9"/>
      <c r="J20" s="61"/>
      <c r="L20" s="9"/>
      <c r="M20" s="8"/>
      <c r="N20" s="9"/>
    </row>
    <row r="21" spans="1:15">
      <c r="A21" s="6" t="s">
        <v>75</v>
      </c>
      <c r="B21" s="8"/>
      <c r="C21" s="8"/>
      <c r="D21" s="9"/>
      <c r="E21" s="72" t="s">
        <v>137</v>
      </c>
      <c r="F21" s="67"/>
      <c r="G21" s="67"/>
      <c r="H21" s="72" t="s">
        <v>87</v>
      </c>
      <c r="I21" s="67"/>
      <c r="J21" s="72" t="s">
        <v>135</v>
      </c>
      <c r="K21" s="67"/>
      <c r="L21" s="67"/>
      <c r="M21" s="67"/>
      <c r="N21" s="61"/>
      <c r="O21" s="6" t="s">
        <v>73</v>
      </c>
    </row>
    <row r="22" spans="1:15">
      <c r="A22" s="58" t="s">
        <v>138</v>
      </c>
      <c r="B22" s="8"/>
      <c r="C22" s="8"/>
      <c r="D22" s="9"/>
      <c r="E22" s="71" t="s">
        <v>148</v>
      </c>
      <c r="F22" s="58" t="s">
        <v>149</v>
      </c>
      <c r="G22" s="7" t="s">
        <v>147</v>
      </c>
      <c r="H22" s="71" t="s">
        <v>150</v>
      </c>
      <c r="I22" s="58" t="s">
        <v>151</v>
      </c>
      <c r="J22" s="71" t="s">
        <v>148</v>
      </c>
      <c r="K22" s="58" t="s">
        <v>149</v>
      </c>
      <c r="L22" s="7" t="s">
        <v>147</v>
      </c>
      <c r="M22" s="8" t="s">
        <v>133</v>
      </c>
      <c r="N22" s="61"/>
    </row>
    <row r="23" spans="1:15">
      <c r="A23" s="58" t="str">
        <f>A11</f>
        <v/>
      </c>
      <c r="B23" s="8"/>
      <c r="C23" s="8"/>
      <c r="D23" s="9"/>
      <c r="E23" s="69" t="str">
        <f t="shared" ref="E23:E28" si="8">E11</f>
        <v/>
      </c>
      <c r="F23" s="68" t="str">
        <f t="shared" ref="F23:F28" si="9">IF(F11="","",F11*0.9)</f>
        <v/>
      </c>
      <c r="G23" s="9" t="str">
        <f t="shared" ref="G23:G28" si="10">IF(F23="","",F23*1.5)</f>
        <v/>
      </c>
      <c r="H23" s="69" t="str">
        <f t="shared" ref="H23:H28" si="11">IF(H11="","",H11*0.9)</f>
        <v/>
      </c>
      <c r="I23" s="9" t="str">
        <f t="shared" ref="I23:I28" si="12">I11</f>
        <v/>
      </c>
      <c r="J23" s="69" t="str">
        <f t="shared" ref="J23:J28" si="13">K11</f>
        <v/>
      </c>
      <c r="K23" s="68" t="str">
        <f t="shared" ref="K23:K28" si="14">IF(L11="","",L11*0.9)</f>
        <v/>
      </c>
      <c r="L23" s="9" t="str">
        <f t="shared" ref="L23:L28" si="15">IF(K23="","",K23*1.5)</f>
        <v/>
      </c>
      <c r="M23" s="9" t="str">
        <f t="shared" ref="M23:M28" si="16">M11</f>
        <v/>
      </c>
      <c r="N23" s="61"/>
      <c r="O23" s="62" t="s">
        <v>136</v>
      </c>
    </row>
    <row r="24" spans="1:15">
      <c r="A24" s="58" t="str">
        <f t="shared" ref="A24:A30" si="17">A12</f>
        <v/>
      </c>
      <c r="B24" s="8"/>
      <c r="C24" s="8"/>
      <c r="D24" s="9"/>
      <c r="E24" s="69" t="str">
        <f t="shared" si="8"/>
        <v/>
      </c>
      <c r="F24" s="68" t="str">
        <f t="shared" si="9"/>
        <v/>
      </c>
      <c r="G24" s="9" t="str">
        <f t="shared" si="10"/>
        <v/>
      </c>
      <c r="H24" s="69" t="str">
        <f t="shared" si="11"/>
        <v/>
      </c>
      <c r="I24" s="9" t="str">
        <f t="shared" si="12"/>
        <v/>
      </c>
      <c r="J24" s="69" t="str">
        <f t="shared" si="13"/>
        <v/>
      </c>
      <c r="K24" s="68" t="str">
        <f t="shared" si="14"/>
        <v/>
      </c>
      <c r="L24" s="9" t="str">
        <f t="shared" si="15"/>
        <v/>
      </c>
      <c r="M24" s="9" t="str">
        <f t="shared" si="16"/>
        <v/>
      </c>
      <c r="N24" s="61"/>
      <c r="O24" s="63" t="s">
        <v>129</v>
      </c>
    </row>
    <row r="25" spans="1:15">
      <c r="A25" s="58">
        <f t="shared" si="17"/>
        <v>5</v>
      </c>
      <c r="B25" s="8"/>
      <c r="C25" s="8"/>
      <c r="D25" s="9"/>
      <c r="E25" s="69">
        <f t="shared" si="8"/>
        <v>37.949989427260284</v>
      </c>
      <c r="F25" s="68">
        <f t="shared" si="9"/>
        <v>54.647984775254798</v>
      </c>
      <c r="G25" s="9">
        <f t="shared" si="10"/>
        <v>81.971977162882197</v>
      </c>
      <c r="H25" s="69">
        <f t="shared" si="11"/>
        <v>27.323992387627399</v>
      </c>
      <c r="I25" s="9">
        <f t="shared" si="12"/>
        <v>14.809751971613768</v>
      </c>
      <c r="J25" s="69">
        <f t="shared" si="13"/>
        <v>22.769993656356171</v>
      </c>
      <c r="K25" s="68">
        <f t="shared" si="14"/>
        <v>32.788790865152876</v>
      </c>
      <c r="L25" s="9">
        <f t="shared" si="15"/>
        <v>49.183186297729314</v>
      </c>
      <c r="M25" s="9">
        <f t="shared" si="16"/>
        <v>14.809751971613768</v>
      </c>
      <c r="N25" s="61"/>
      <c r="O25" s="63" t="s">
        <v>121</v>
      </c>
    </row>
    <row r="26" spans="1:15">
      <c r="A26" s="58">
        <f t="shared" si="17"/>
        <v>4</v>
      </c>
      <c r="B26" s="8"/>
      <c r="C26" s="8"/>
      <c r="D26" s="9"/>
      <c r="E26" s="69">
        <f t="shared" si="8"/>
        <v>71.123168113405328</v>
      </c>
      <c r="F26" s="68">
        <f t="shared" si="9"/>
        <v>102.41736208330366</v>
      </c>
      <c r="G26" s="9">
        <f t="shared" si="10"/>
        <v>153.62604312495549</v>
      </c>
      <c r="H26" s="69">
        <f t="shared" si="11"/>
        <v>78.532673429279228</v>
      </c>
      <c r="I26" s="9">
        <f t="shared" si="12"/>
        <v>42.565134650015843</v>
      </c>
      <c r="J26" s="69">
        <f t="shared" si="13"/>
        <v>42.673900868043198</v>
      </c>
      <c r="K26" s="68">
        <f t="shared" si="14"/>
        <v>61.450417249982195</v>
      </c>
      <c r="L26" s="9">
        <f t="shared" si="15"/>
        <v>92.175625874973292</v>
      </c>
      <c r="M26" s="9">
        <f t="shared" si="16"/>
        <v>57.374886621629614</v>
      </c>
      <c r="N26" s="61"/>
    </row>
    <row r="27" spans="1:15">
      <c r="A27" s="58">
        <f t="shared" si="17"/>
        <v>3</v>
      </c>
      <c r="B27" s="8"/>
      <c r="C27" s="8"/>
      <c r="D27" s="9"/>
      <c r="E27" s="69">
        <f t="shared" si="8"/>
        <v>95.761334108865285</v>
      </c>
      <c r="F27" s="68">
        <f t="shared" si="9"/>
        <v>137.89632111676602</v>
      </c>
      <c r="G27" s="9">
        <f t="shared" si="10"/>
        <v>206.84448167514904</v>
      </c>
      <c r="H27" s="69">
        <f t="shared" si="11"/>
        <v>120.15684160003484</v>
      </c>
      <c r="I27" s="9">
        <f t="shared" si="12"/>
        <v>65.125659403812932</v>
      </c>
      <c r="J27" s="69">
        <f t="shared" si="13"/>
        <v>57.456800465319169</v>
      </c>
      <c r="K27" s="68">
        <f t="shared" si="14"/>
        <v>82.737792670059605</v>
      </c>
      <c r="L27" s="9">
        <f t="shared" si="15"/>
        <v>124.10668900508941</v>
      </c>
      <c r="M27" s="9">
        <f t="shared" si="16"/>
        <v>122.50054602544255</v>
      </c>
      <c r="N27" s="61"/>
    </row>
    <row r="28" spans="1:15">
      <c r="A28" s="58">
        <f t="shared" si="17"/>
        <v>2</v>
      </c>
      <c r="B28" s="8"/>
      <c r="C28" s="8"/>
      <c r="D28" s="9"/>
      <c r="E28" s="69">
        <f t="shared" si="8"/>
        <v>112.51528698577806</v>
      </c>
      <c r="F28" s="68">
        <f t="shared" si="9"/>
        <v>162.02201325952041</v>
      </c>
      <c r="G28" s="9">
        <f t="shared" si="10"/>
        <v>243.03301988928061</v>
      </c>
      <c r="H28" s="69">
        <f t="shared" si="11"/>
        <v>149.95916718814323</v>
      </c>
      <c r="I28" s="9">
        <f t="shared" si="12"/>
        <v>81.278681402787655</v>
      </c>
      <c r="J28" s="69">
        <f t="shared" si="13"/>
        <v>67.509172191466831</v>
      </c>
      <c r="K28" s="68">
        <f t="shared" si="14"/>
        <v>97.213207955712235</v>
      </c>
      <c r="L28" s="9">
        <f t="shared" si="15"/>
        <v>145.81981193356836</v>
      </c>
      <c r="M28" s="9">
        <f t="shared" si="16"/>
        <v>203.7792274282302</v>
      </c>
      <c r="N28" s="61"/>
      <c r="O28" s="75" t="s">
        <v>144</v>
      </c>
    </row>
    <row r="29" spans="1:15">
      <c r="A29" s="58" t="str">
        <f t="shared" si="17"/>
        <v>1 testa</v>
      </c>
      <c r="B29" s="8"/>
      <c r="C29" s="8"/>
      <c r="D29" s="9"/>
      <c r="E29" s="69">
        <f t="shared" ref="E29" si="18">E17</f>
        <v>117.19833194368542</v>
      </c>
      <c r="F29" s="68">
        <f>IF(F17="","",F17*0.9)</f>
        <v>151.88903819901634</v>
      </c>
      <c r="G29" s="9">
        <f>IF(F29="","",F29*1.5)</f>
        <v>227.83355729852451</v>
      </c>
      <c r="H29" s="69">
        <f>IF(H17="","",H17*0.9)</f>
        <v>156.95552572926835</v>
      </c>
      <c r="I29" s="9">
        <f>I17</f>
        <v>85.070745652719978</v>
      </c>
      <c r="J29" s="69">
        <f>K17</f>
        <v>93.758665554948337</v>
      </c>
      <c r="K29" s="68">
        <f>IF(L17="","",L17*0.9)</f>
        <v>121.51123055921305</v>
      </c>
      <c r="L29" s="9">
        <f>IF(K29="","",K29*1.5)</f>
        <v>182.26684583881956</v>
      </c>
      <c r="M29" s="9">
        <f>M17</f>
        <v>288.84997308095018</v>
      </c>
      <c r="N29" s="61"/>
      <c r="O29" s="75" t="s">
        <v>146</v>
      </c>
    </row>
    <row r="30" spans="1:15">
      <c r="A30" s="58" t="str">
        <f t="shared" si="17"/>
        <v>1 piede</v>
      </c>
      <c r="B30" s="8"/>
      <c r="C30" s="8"/>
      <c r="D30" s="9"/>
      <c r="E30" s="70"/>
      <c r="F30" s="9">
        <f>F18</f>
        <v>253.14839699836051</v>
      </c>
      <c r="H30" s="70"/>
      <c r="J30" s="70"/>
      <c r="K30" s="9">
        <f>L18</f>
        <v>202.5187175986884</v>
      </c>
      <c r="M30" s="9"/>
      <c r="N30" s="61"/>
      <c r="O30" s="75" t="s">
        <v>143</v>
      </c>
    </row>
    <row r="31" spans="1:15">
      <c r="A31" s="8"/>
      <c r="B31" s="8"/>
      <c r="C31" s="8"/>
      <c r="D31" s="9"/>
      <c r="G31" s="11"/>
      <c r="I31" s="9"/>
    </row>
    <row r="32" spans="1:15">
      <c r="B32" s="8"/>
      <c r="C32" s="8"/>
      <c r="D32" s="9"/>
      <c r="E32" s="9"/>
      <c r="G32" s="11"/>
      <c r="I32" s="9"/>
      <c r="K32" s="6"/>
    </row>
    <row r="33" spans="1:15">
      <c r="A33" s="8"/>
      <c r="D33" s="11"/>
      <c r="F33" s="9"/>
      <c r="I33" s="9"/>
      <c r="K33" s="8"/>
      <c r="L33" s="9"/>
    </row>
    <row r="34" spans="1:15" ht="15.75">
      <c r="A34" s="56" t="s">
        <v>74</v>
      </c>
      <c r="J34" s="7" t="s">
        <v>118</v>
      </c>
    </row>
    <row r="35" spans="1:15">
      <c r="D35" s="64" t="s">
        <v>141</v>
      </c>
      <c r="E35" s="8" t="s">
        <v>195</v>
      </c>
      <c r="J35" s="8" t="s">
        <v>154</v>
      </c>
      <c r="K35" s="44">
        <v>4.0999999999999996</v>
      </c>
      <c r="L35" s="7" t="s">
        <v>21</v>
      </c>
    </row>
    <row r="36" spans="1:15">
      <c r="D36" s="57"/>
    </row>
    <row r="37" spans="1:15">
      <c r="A37" s="6" t="s">
        <v>70</v>
      </c>
      <c r="E37" s="72" t="s">
        <v>137</v>
      </c>
      <c r="F37" s="67"/>
      <c r="G37" s="67"/>
      <c r="H37" s="72" t="s">
        <v>87</v>
      </c>
      <c r="I37" s="67"/>
      <c r="J37" s="72" t="s">
        <v>135</v>
      </c>
      <c r="K37" s="67"/>
      <c r="L37" s="67"/>
      <c r="M37" s="67"/>
    </row>
    <row r="38" spans="1:15">
      <c r="A38" s="58" t="s">
        <v>138</v>
      </c>
      <c r="B38" s="58" t="s">
        <v>128</v>
      </c>
      <c r="C38" s="58" t="s">
        <v>71</v>
      </c>
      <c r="D38" s="58" t="s">
        <v>72</v>
      </c>
      <c r="E38" s="71" t="s">
        <v>148</v>
      </c>
      <c r="F38" s="58" t="s">
        <v>149</v>
      </c>
      <c r="H38" s="71" t="s">
        <v>150</v>
      </c>
      <c r="I38" s="58" t="s">
        <v>151</v>
      </c>
      <c r="J38" s="73" t="s">
        <v>134</v>
      </c>
      <c r="K38" s="58" t="s">
        <v>148</v>
      </c>
      <c r="L38" s="58" t="s">
        <v>149</v>
      </c>
      <c r="M38" s="8" t="s">
        <v>152</v>
      </c>
      <c r="O38" s="59" t="s">
        <v>153</v>
      </c>
    </row>
    <row r="39" spans="1:15">
      <c r="A39" s="58" t="str">
        <f>A23</f>
        <v/>
      </c>
      <c r="B39" s="66" t="str">
        <f>IF(Rayleigh!O36="","",Rayleigh!O36)</f>
        <v/>
      </c>
      <c r="C39" s="77" t="str">
        <f>C11</f>
        <v/>
      </c>
      <c r="D39" s="11" t="str">
        <f>IF(Rigidezze!K31="","",Rigidezze!K31)</f>
        <v/>
      </c>
      <c r="E39" s="69" t="str">
        <f t="shared" ref="E39" si="19">IF(D39="","",B39/D39)</f>
        <v/>
      </c>
      <c r="F39" s="9" t="str">
        <f t="shared" ref="F39" si="20">IF(D39="","",E39*C39*0.5)</f>
        <v/>
      </c>
      <c r="H39" s="69" t="str">
        <f t="shared" ref="H39" si="21">IF(D39="","",(IF(F38="",0,F38)+F39)/2)</f>
        <v/>
      </c>
      <c r="I39" s="9" t="str">
        <f t="shared" ref="I39" si="22">IF(D39="","",2*H39/$K$7)</f>
        <v/>
      </c>
      <c r="J39" s="74"/>
      <c r="K39" s="9" t="str">
        <f t="shared" ref="K39" si="23">IF(D39="","",J39*E39)</f>
        <v/>
      </c>
      <c r="L39" s="9" t="str">
        <f t="shared" ref="L39" si="24">IF(D39="","",K39*C39*0.5)</f>
        <v/>
      </c>
      <c r="M39" s="9" t="str">
        <f t="shared" ref="M39" si="25">IF(D39="","",IF(M38="",0,M38)+I39)</f>
        <v/>
      </c>
      <c r="O39" s="60" t="s">
        <v>119</v>
      </c>
    </row>
    <row r="40" spans="1:15">
      <c r="A40" s="58" t="str">
        <f t="shared" ref="A40:A46" si="26">A24</f>
        <v/>
      </c>
      <c r="B40" s="66" t="str">
        <f>IF(Rayleigh!O37="","",Rayleigh!O37)</f>
        <v/>
      </c>
      <c r="C40" s="77" t="str">
        <f t="shared" ref="C40:C45" si="27">C12</f>
        <v/>
      </c>
      <c r="D40" s="11" t="str">
        <f>IF(Rigidezze!K32="","",Rigidezze!K32)</f>
        <v/>
      </c>
      <c r="E40" s="69" t="str">
        <f t="shared" ref="E40:E41" si="28">IF(D40="","",B40/D40)</f>
        <v/>
      </c>
      <c r="F40" s="9" t="str">
        <f t="shared" ref="F40:F41" si="29">IF(D40="","",E40*C40*0.5)</f>
        <v/>
      </c>
      <c r="H40" s="69" t="str">
        <f t="shared" ref="H40:H41" si="30">IF(D40="","",(IF(F39="",0,F39)+F40)/2)</f>
        <v/>
      </c>
      <c r="I40" s="9" t="str">
        <f t="shared" ref="I40:I41" si="31">IF(D40="","",2*H40/$K$7)</f>
        <v/>
      </c>
      <c r="J40" s="74"/>
      <c r="K40" s="9" t="str">
        <f t="shared" ref="K40:K41" si="32">IF(D40="","",J40*E40)</f>
        <v/>
      </c>
      <c r="L40" s="9" t="str">
        <f t="shared" ref="L40:L41" si="33">IF(D40="","",K40*C40*0.5)</f>
        <v/>
      </c>
      <c r="M40" s="9" t="str">
        <f t="shared" ref="M40:M41" si="34">IF(D40="","",IF(M39="",0,M39)+I40)</f>
        <v/>
      </c>
      <c r="O40" s="60" t="s">
        <v>120</v>
      </c>
    </row>
    <row r="41" spans="1:15">
      <c r="A41" s="58">
        <f t="shared" si="26"/>
        <v>5</v>
      </c>
      <c r="B41" s="66">
        <f>IF(Rayleigh!O38="","",Rayleigh!O38)</f>
        <v>581.43139756757921</v>
      </c>
      <c r="C41" s="77">
        <f t="shared" si="27"/>
        <v>3.1999999999999993</v>
      </c>
      <c r="D41" s="11">
        <f>IF(Rigidezze!K33="","",Rigidezze!K33)</f>
        <v>15.709965255718435</v>
      </c>
      <c r="E41" s="69">
        <f t="shared" si="28"/>
        <v>37.010355408388818</v>
      </c>
      <c r="F41" s="9">
        <f t="shared" si="29"/>
        <v>59.216568653422094</v>
      </c>
      <c r="H41" s="69">
        <f t="shared" si="30"/>
        <v>29.608284326711047</v>
      </c>
      <c r="I41" s="9">
        <f t="shared" si="31"/>
        <v>14.443065525224903</v>
      </c>
      <c r="J41" s="74">
        <v>0.6</v>
      </c>
      <c r="K41" s="9">
        <f t="shared" si="32"/>
        <v>22.20621324503329</v>
      </c>
      <c r="L41" s="9">
        <f t="shared" si="33"/>
        <v>35.529941192053258</v>
      </c>
      <c r="M41" s="9">
        <f t="shared" si="34"/>
        <v>14.443065525224903</v>
      </c>
      <c r="N41" s="8"/>
    </row>
    <row r="42" spans="1:15">
      <c r="A42" s="58">
        <f t="shared" si="26"/>
        <v>4</v>
      </c>
      <c r="B42" s="66">
        <f>IF(Rayleigh!O39="","",Rayleigh!O39)</f>
        <v>1071.3056418679905</v>
      </c>
      <c r="C42" s="77">
        <f t="shared" si="27"/>
        <v>3.1999999999999993</v>
      </c>
      <c r="D42" s="11">
        <f>IF(Rigidezze!K34="","",Rigidezze!K34)</f>
        <v>15.515878552571367</v>
      </c>
      <c r="E42" s="69">
        <f t="shared" ref="E42:E45" si="35">IF(D42="","",B42/D42)</f>
        <v>69.04576097564572</v>
      </c>
      <c r="F42" s="9">
        <f t="shared" ref="F42:F44" si="36">IF(D42="","",E42*C42*0.5)</f>
        <v>110.47321756103312</v>
      </c>
      <c r="H42" s="69">
        <f t="shared" ref="H42:H45" si="37">IF(D42="","",(IF(F41="",0,F41)+F42)/2)</f>
        <v>84.844893107227605</v>
      </c>
      <c r="I42" s="9">
        <f t="shared" ref="I42:I45" si="38">IF(D42="","",2*H42/$K$7)</f>
        <v>41.387752735232979</v>
      </c>
      <c r="J42" s="74">
        <v>0.6</v>
      </c>
      <c r="K42" s="9">
        <f t="shared" ref="K42:K45" si="39">IF(D42="","",J42*E42)</f>
        <v>41.427456585387432</v>
      </c>
      <c r="L42" s="9">
        <f t="shared" ref="L42:L45" si="40">IF(D42="","",K42*C42*0.5)</f>
        <v>66.283930536619877</v>
      </c>
      <c r="M42" s="9">
        <f t="shared" ref="M42:M45" si="41">IF(D42="","",IF(M41="",0,M41)+I42)</f>
        <v>55.830818260457882</v>
      </c>
      <c r="N42" s="8"/>
    </row>
    <row r="43" spans="1:15">
      <c r="A43" s="58">
        <f t="shared" si="26"/>
        <v>3</v>
      </c>
      <c r="B43" s="66">
        <f>IF(Rayleigh!O40="","",Rayleigh!O40)</f>
        <v>1442.4224936107264</v>
      </c>
      <c r="C43" s="77">
        <f t="shared" si="27"/>
        <v>3.2</v>
      </c>
      <c r="D43" s="11">
        <f>IF(Rigidezze!K35="","",Rigidezze!K35)</f>
        <v>15.515878552571367</v>
      </c>
      <c r="E43" s="69">
        <f t="shared" si="35"/>
        <v>92.964280992756358</v>
      </c>
      <c r="F43" s="9">
        <f t="shared" si="36"/>
        <v>148.74284958841017</v>
      </c>
      <c r="H43" s="69">
        <f t="shared" si="37"/>
        <v>129.60803357472165</v>
      </c>
      <c r="I43" s="9">
        <f t="shared" si="38"/>
        <v>63.223431012059343</v>
      </c>
      <c r="J43" s="74">
        <v>0.6</v>
      </c>
      <c r="K43" s="9">
        <f t="shared" si="39"/>
        <v>55.778568595653816</v>
      </c>
      <c r="L43" s="9">
        <f t="shared" si="40"/>
        <v>89.245709753046114</v>
      </c>
      <c r="M43" s="9">
        <f t="shared" si="41"/>
        <v>119.05424927251723</v>
      </c>
      <c r="N43" s="8"/>
    </row>
    <row r="44" spans="1:15">
      <c r="A44" s="58">
        <f t="shared" si="26"/>
        <v>2</v>
      </c>
      <c r="B44" s="66">
        <f>IF(Rayleigh!O41="","",Rayleigh!O41)</f>
        <v>1694.781952795787</v>
      </c>
      <c r="C44" s="77">
        <f t="shared" si="27"/>
        <v>3.1999999999999997</v>
      </c>
      <c r="D44" s="11">
        <f>IF(Rigidezze!K36="","",Rigidezze!K36)</f>
        <v>15.515878552571367</v>
      </c>
      <c r="E44" s="69">
        <f t="shared" si="35"/>
        <v>109.22887460439161</v>
      </c>
      <c r="F44" s="9">
        <f t="shared" si="36"/>
        <v>174.76619936702656</v>
      </c>
      <c r="H44" s="69">
        <f t="shared" si="37"/>
        <v>161.75452447771835</v>
      </c>
      <c r="I44" s="9">
        <f t="shared" si="38"/>
        <v>78.904646086691884</v>
      </c>
      <c r="J44" s="74">
        <v>0.6</v>
      </c>
      <c r="K44" s="9">
        <f t="shared" si="39"/>
        <v>65.537324762634967</v>
      </c>
      <c r="L44" s="9">
        <f t="shared" si="40"/>
        <v>104.85971962021594</v>
      </c>
      <c r="M44" s="9">
        <f t="shared" si="41"/>
        <v>197.95889535920912</v>
      </c>
      <c r="N44" s="8"/>
      <c r="O44" s="75" t="s">
        <v>144</v>
      </c>
    </row>
    <row r="45" spans="1:15">
      <c r="A45" s="58" t="str">
        <f t="shared" si="26"/>
        <v>1 testa</v>
      </c>
      <c r="B45" s="66">
        <f>IF(Rayleigh!O42="","",Rayleigh!O42)</f>
        <v>1815.90957</v>
      </c>
      <c r="C45" s="77">
        <f t="shared" si="27"/>
        <v>3.6</v>
      </c>
      <c r="D45" s="11">
        <f>IF(Rigidezze!K37="","",Rigidezze!K37)</f>
        <v>15.843560602207697</v>
      </c>
      <c r="E45" s="69">
        <f t="shared" si="35"/>
        <v>114.61499189437031</v>
      </c>
      <c r="F45" s="9">
        <f>IF(D45="","",E45*C45*0.4)</f>
        <v>165.04558832789326</v>
      </c>
      <c r="H45" s="69">
        <f t="shared" si="37"/>
        <v>169.90589384745991</v>
      </c>
      <c r="I45" s="9">
        <f t="shared" si="38"/>
        <v>82.880923828029225</v>
      </c>
      <c r="J45" s="74">
        <v>0.8</v>
      </c>
      <c r="K45" s="9">
        <f t="shared" si="39"/>
        <v>91.69199351549625</v>
      </c>
      <c r="L45" s="9">
        <f t="shared" si="40"/>
        <v>165.04558832789326</v>
      </c>
      <c r="M45" s="9">
        <f t="shared" si="41"/>
        <v>280.83981918723833</v>
      </c>
      <c r="N45" s="8"/>
      <c r="O45" s="75" t="s">
        <v>145</v>
      </c>
    </row>
    <row r="46" spans="1:15">
      <c r="A46" s="58" t="str">
        <f t="shared" si="26"/>
        <v>1 piede</v>
      </c>
      <c r="B46" s="8"/>
      <c r="C46" s="8"/>
      <c r="D46" s="9"/>
      <c r="E46" s="70"/>
      <c r="F46" s="9">
        <f>IF(D45="","",E45*C45*0.6)</f>
        <v>247.56838249183983</v>
      </c>
      <c r="H46" s="70"/>
      <c r="J46" s="69"/>
      <c r="K46" s="61"/>
      <c r="L46" s="9">
        <f>IF(D45="","",K45*C45*0.6)</f>
        <v>198.05470599347191</v>
      </c>
      <c r="M46" s="9"/>
      <c r="N46" s="8"/>
      <c r="O46" s="75" t="s">
        <v>142</v>
      </c>
    </row>
    <row r="47" spans="1:15">
      <c r="A47" s="8"/>
      <c r="B47" s="8"/>
      <c r="C47" s="8"/>
      <c r="D47" s="9"/>
      <c r="F47" s="9"/>
      <c r="I47" s="9"/>
      <c r="J47" s="61"/>
      <c r="L47" s="9"/>
      <c r="M47" s="8"/>
      <c r="N47" s="9"/>
    </row>
    <row r="48" spans="1:15">
      <c r="A48" s="8"/>
      <c r="B48" s="8"/>
      <c r="C48" s="8"/>
      <c r="D48" s="9"/>
      <c r="F48" s="9"/>
      <c r="I48" s="9"/>
      <c r="J48" s="61"/>
      <c r="L48" s="9"/>
      <c r="M48" s="8"/>
      <c r="N48" s="9"/>
    </row>
    <row r="49" spans="1:15">
      <c r="A49" s="6" t="s">
        <v>75</v>
      </c>
      <c r="B49" s="8"/>
      <c r="C49" s="8"/>
      <c r="D49" s="9"/>
      <c r="E49" s="72" t="s">
        <v>137</v>
      </c>
      <c r="F49" s="67"/>
      <c r="G49" s="67"/>
      <c r="H49" s="72" t="s">
        <v>87</v>
      </c>
      <c r="I49" s="67"/>
      <c r="J49" s="72" t="s">
        <v>135</v>
      </c>
      <c r="K49" s="67"/>
      <c r="L49" s="67"/>
      <c r="M49" s="67"/>
      <c r="N49" s="61"/>
      <c r="O49" s="6" t="s">
        <v>73</v>
      </c>
    </row>
    <row r="50" spans="1:15">
      <c r="A50" s="58" t="s">
        <v>138</v>
      </c>
      <c r="B50" s="8"/>
      <c r="C50" s="8"/>
      <c r="D50" s="9"/>
      <c r="E50" s="71" t="s">
        <v>148</v>
      </c>
      <c r="F50" s="58" t="s">
        <v>149</v>
      </c>
      <c r="G50" s="7" t="s">
        <v>147</v>
      </c>
      <c r="H50" s="71" t="s">
        <v>150</v>
      </c>
      <c r="I50" s="58" t="s">
        <v>151</v>
      </c>
      <c r="J50" s="71" t="s">
        <v>148</v>
      </c>
      <c r="K50" s="58" t="s">
        <v>149</v>
      </c>
      <c r="L50" s="7" t="s">
        <v>147</v>
      </c>
      <c r="M50" s="8" t="s">
        <v>133</v>
      </c>
      <c r="N50" s="61"/>
    </row>
    <row r="51" spans="1:15">
      <c r="A51" s="58" t="str">
        <f>A39</f>
        <v/>
      </c>
      <c r="B51" s="8"/>
      <c r="C51" s="8"/>
      <c r="D51" s="9"/>
      <c r="E51" s="69" t="str">
        <f t="shared" ref="E51:E57" si="42">E39</f>
        <v/>
      </c>
      <c r="F51" s="68" t="str">
        <f t="shared" ref="F51:F56" si="43">IF(F39="","",F39*0.9)</f>
        <v/>
      </c>
      <c r="G51" s="9" t="str">
        <f t="shared" ref="G51:G56" si="44">IF(F51="","",F51*1.5)</f>
        <v/>
      </c>
      <c r="H51" s="69" t="str">
        <f t="shared" ref="H51:H56" si="45">IF(H39="","",H39*0.9)</f>
        <v/>
      </c>
      <c r="I51" s="9" t="str">
        <f t="shared" ref="I51:I56" si="46">I39</f>
        <v/>
      </c>
      <c r="J51" s="69" t="str">
        <f t="shared" ref="J51:J56" si="47">K39</f>
        <v/>
      </c>
      <c r="K51" s="68" t="str">
        <f t="shared" ref="K51:K56" si="48">IF(L39="","",L39*0.9)</f>
        <v/>
      </c>
      <c r="L51" s="9" t="str">
        <f t="shared" ref="L51:L56" si="49">IF(K51="","",K51*1.5)</f>
        <v/>
      </c>
      <c r="M51" s="9" t="str">
        <f t="shared" ref="M51:M56" si="50">M39</f>
        <v/>
      </c>
      <c r="N51" s="61"/>
      <c r="O51" s="62" t="s">
        <v>136</v>
      </c>
    </row>
    <row r="52" spans="1:15">
      <c r="A52" s="58" t="str">
        <f t="shared" ref="A52:A58" si="51">A40</f>
        <v/>
      </c>
      <c r="B52" s="8"/>
      <c r="C52" s="8"/>
      <c r="D52" s="9"/>
      <c r="E52" s="69" t="str">
        <f t="shared" si="42"/>
        <v/>
      </c>
      <c r="F52" s="68" t="str">
        <f t="shared" si="43"/>
        <v/>
      </c>
      <c r="G52" s="9" t="str">
        <f t="shared" si="44"/>
        <v/>
      </c>
      <c r="H52" s="69" t="str">
        <f t="shared" si="45"/>
        <v/>
      </c>
      <c r="I52" s="9" t="str">
        <f t="shared" si="46"/>
        <v/>
      </c>
      <c r="J52" s="69" t="str">
        <f t="shared" si="47"/>
        <v/>
      </c>
      <c r="K52" s="68" t="str">
        <f t="shared" si="48"/>
        <v/>
      </c>
      <c r="L52" s="9" t="str">
        <f t="shared" si="49"/>
        <v/>
      </c>
      <c r="M52" s="9" t="str">
        <f t="shared" si="50"/>
        <v/>
      </c>
      <c r="N52" s="61"/>
      <c r="O52" s="63" t="s">
        <v>129</v>
      </c>
    </row>
    <row r="53" spans="1:15">
      <c r="A53" s="58">
        <f t="shared" si="51"/>
        <v>5</v>
      </c>
      <c r="B53" s="8"/>
      <c r="C53" s="8"/>
      <c r="D53" s="9"/>
      <c r="E53" s="69">
        <f t="shared" si="42"/>
        <v>37.010355408388818</v>
      </c>
      <c r="F53" s="68">
        <f t="shared" si="43"/>
        <v>53.294911788079887</v>
      </c>
      <c r="G53" s="9">
        <f t="shared" si="44"/>
        <v>79.942367682119823</v>
      </c>
      <c r="H53" s="69">
        <f t="shared" si="45"/>
        <v>26.647455894039943</v>
      </c>
      <c r="I53" s="9">
        <f t="shared" si="46"/>
        <v>14.443065525224903</v>
      </c>
      <c r="J53" s="69">
        <f t="shared" si="47"/>
        <v>22.20621324503329</v>
      </c>
      <c r="K53" s="68">
        <f t="shared" si="48"/>
        <v>31.976947072847931</v>
      </c>
      <c r="L53" s="9">
        <f t="shared" si="49"/>
        <v>47.965420609271895</v>
      </c>
      <c r="M53" s="9">
        <f t="shared" si="50"/>
        <v>14.443065525224903</v>
      </c>
      <c r="N53" s="61"/>
      <c r="O53" s="63" t="s">
        <v>121</v>
      </c>
    </row>
    <row r="54" spans="1:15">
      <c r="A54" s="58">
        <f t="shared" si="51"/>
        <v>4</v>
      </c>
      <c r="B54" s="8"/>
      <c r="C54" s="8"/>
      <c r="D54" s="9"/>
      <c r="E54" s="69">
        <f t="shared" si="42"/>
        <v>69.04576097564572</v>
      </c>
      <c r="F54" s="68">
        <f t="shared" si="43"/>
        <v>99.425895804929809</v>
      </c>
      <c r="G54" s="9">
        <f t="shared" si="44"/>
        <v>149.1388437073947</v>
      </c>
      <c r="H54" s="69">
        <f t="shared" si="45"/>
        <v>76.360403796504841</v>
      </c>
      <c r="I54" s="9">
        <f t="shared" si="46"/>
        <v>41.387752735232979</v>
      </c>
      <c r="J54" s="69">
        <f t="shared" si="47"/>
        <v>41.427456585387432</v>
      </c>
      <c r="K54" s="68">
        <f t="shared" si="48"/>
        <v>59.655537482957889</v>
      </c>
      <c r="L54" s="9">
        <f t="shared" si="49"/>
        <v>89.483306224436831</v>
      </c>
      <c r="M54" s="9">
        <f t="shared" si="50"/>
        <v>55.830818260457882</v>
      </c>
      <c r="N54" s="61"/>
    </row>
    <row r="55" spans="1:15">
      <c r="A55" s="58">
        <f t="shared" si="51"/>
        <v>3</v>
      </c>
      <c r="B55" s="8"/>
      <c r="C55" s="8"/>
      <c r="D55" s="9"/>
      <c r="E55" s="69">
        <f t="shared" si="42"/>
        <v>92.964280992756358</v>
      </c>
      <c r="F55" s="68">
        <f t="shared" si="43"/>
        <v>133.86856462956916</v>
      </c>
      <c r="G55" s="9">
        <f t="shared" si="44"/>
        <v>200.80284694435375</v>
      </c>
      <c r="H55" s="69">
        <f t="shared" si="45"/>
        <v>116.64723021724949</v>
      </c>
      <c r="I55" s="9">
        <f t="shared" si="46"/>
        <v>63.223431012059343</v>
      </c>
      <c r="J55" s="69">
        <f t="shared" si="47"/>
        <v>55.778568595653816</v>
      </c>
      <c r="K55" s="68">
        <f t="shared" si="48"/>
        <v>80.32113877774151</v>
      </c>
      <c r="L55" s="9">
        <f t="shared" si="49"/>
        <v>120.48170816661226</v>
      </c>
      <c r="M55" s="9">
        <f t="shared" si="50"/>
        <v>119.05424927251723</v>
      </c>
      <c r="N55" s="61"/>
    </row>
    <row r="56" spans="1:15">
      <c r="A56" s="58">
        <f t="shared" si="51"/>
        <v>2</v>
      </c>
      <c r="B56" s="8"/>
      <c r="C56" s="8"/>
      <c r="D56" s="9"/>
      <c r="E56" s="69">
        <f t="shared" si="42"/>
        <v>109.22887460439161</v>
      </c>
      <c r="F56" s="68">
        <f t="shared" si="43"/>
        <v>157.2895794303239</v>
      </c>
      <c r="G56" s="9">
        <f t="shared" si="44"/>
        <v>235.93436914548585</v>
      </c>
      <c r="H56" s="69">
        <f t="shared" si="45"/>
        <v>145.57907202994653</v>
      </c>
      <c r="I56" s="9">
        <f t="shared" si="46"/>
        <v>78.904646086691884</v>
      </c>
      <c r="J56" s="69">
        <f t="shared" si="47"/>
        <v>65.537324762634967</v>
      </c>
      <c r="K56" s="68">
        <f t="shared" si="48"/>
        <v>94.373747658194347</v>
      </c>
      <c r="L56" s="9">
        <f t="shared" si="49"/>
        <v>141.56062148729151</v>
      </c>
      <c r="M56" s="9">
        <f t="shared" si="50"/>
        <v>197.95889535920912</v>
      </c>
      <c r="N56" s="61"/>
      <c r="O56" s="75" t="s">
        <v>144</v>
      </c>
    </row>
    <row r="57" spans="1:15">
      <c r="A57" s="58" t="str">
        <f t="shared" si="51"/>
        <v>1 testa</v>
      </c>
      <c r="B57" s="8"/>
      <c r="C57" s="8"/>
      <c r="D57" s="9"/>
      <c r="E57" s="69">
        <f t="shared" si="42"/>
        <v>114.61499189437031</v>
      </c>
      <c r="F57" s="68">
        <f>IF(F45="","",F45*0.9)</f>
        <v>148.54102949510394</v>
      </c>
      <c r="G57" s="9">
        <f>IF(F57="","",F57*1.5)</f>
        <v>222.81154424265591</v>
      </c>
      <c r="H57" s="69">
        <f>IF(H45="","",H45*0.9)</f>
        <v>152.91530446271392</v>
      </c>
      <c r="I57" s="9">
        <f>I45</f>
        <v>82.880923828029225</v>
      </c>
      <c r="J57" s="69">
        <f>K45</f>
        <v>91.69199351549625</v>
      </c>
      <c r="K57" s="68">
        <f>IF(L45="","",L45*0.9)</f>
        <v>148.54102949510394</v>
      </c>
      <c r="L57" s="9">
        <f>IF(K57="","",K57*1.5)</f>
        <v>222.81154424265591</v>
      </c>
      <c r="M57" s="9">
        <f>M45</f>
        <v>280.83981918723833</v>
      </c>
      <c r="N57" s="61"/>
      <c r="O57" s="75" t="s">
        <v>146</v>
      </c>
    </row>
    <row r="58" spans="1:15">
      <c r="A58" s="58" t="str">
        <f t="shared" si="51"/>
        <v>1 piede</v>
      </c>
      <c r="B58" s="8"/>
      <c r="C58" s="8"/>
      <c r="D58" s="9"/>
      <c r="E58" s="70"/>
      <c r="F58" s="9">
        <f>F46</f>
        <v>247.56838249183983</v>
      </c>
      <c r="H58" s="70"/>
      <c r="J58" s="70"/>
      <c r="K58" s="9">
        <f>L46</f>
        <v>198.05470599347191</v>
      </c>
      <c r="M58" s="9"/>
      <c r="N58" s="61"/>
      <c r="O58" s="75" t="s">
        <v>143</v>
      </c>
    </row>
    <row r="59" spans="1:15">
      <c r="A59" s="8"/>
      <c r="B59" s="8"/>
      <c r="C59" s="8"/>
      <c r="D59" s="9"/>
      <c r="G59" s="11"/>
      <c r="I59" s="9"/>
    </row>
    <row r="60" spans="1:15">
      <c r="A60" s="8"/>
      <c r="D60" s="11"/>
      <c r="E60" s="9"/>
      <c r="F60" s="9"/>
      <c r="G60" s="9"/>
      <c r="H60" s="9"/>
      <c r="I60" s="9"/>
      <c r="J60" s="11"/>
      <c r="K60" s="8"/>
      <c r="L60" s="9"/>
    </row>
    <row r="61" spans="1:15">
      <c r="A61" s="8"/>
      <c r="D61" s="11"/>
      <c r="E61" s="9"/>
      <c r="F61" s="9"/>
      <c r="G61" s="9"/>
      <c r="H61" s="9"/>
      <c r="I61" s="9"/>
      <c r="K61" s="8"/>
      <c r="L61" s="9"/>
    </row>
    <row r="62" spans="1:15">
      <c r="A62" s="8"/>
      <c r="D62" s="11"/>
      <c r="E62" s="9"/>
      <c r="F62" s="9"/>
      <c r="G62" s="9"/>
      <c r="H62" s="9"/>
      <c r="I62" s="9"/>
      <c r="K62" s="8"/>
      <c r="L62" s="9"/>
    </row>
    <row r="63" spans="1:15">
      <c r="A63" s="8"/>
      <c r="D63" s="11"/>
      <c r="F63" s="9"/>
      <c r="I63" s="9"/>
      <c r="K63" s="8"/>
      <c r="L63" s="9"/>
    </row>
    <row r="64" spans="1:15">
      <c r="A64" s="8"/>
      <c r="D64" s="11"/>
      <c r="F64" s="9"/>
      <c r="I64" s="9"/>
      <c r="K64" s="8"/>
      <c r="L64" s="9"/>
    </row>
  </sheetData>
  <dataValidations count="1">
    <dataValidation type="list" allowBlank="1" showInputMessage="1" showErrorMessage="1" sqref="H3">
      <formula1>"Classe A,Classe B"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ignoredErrors>
    <ignoredError sqref="G23:G29 G51:G5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L75"/>
  <sheetViews>
    <sheetView zoomScaleNormal="100" workbookViewId="0">
      <selection activeCell="A3" sqref="A3"/>
    </sheetView>
  </sheetViews>
  <sheetFormatPr defaultColWidth="9" defaultRowHeight="15"/>
  <cols>
    <col min="1" max="4" width="9" style="7"/>
    <col min="5" max="5" width="12.7109375" style="7" customWidth="1"/>
    <col min="6" max="16384" width="9" style="7"/>
  </cols>
  <sheetData>
    <row r="1" spans="1:9" ht="15.75">
      <c r="A1" s="56" t="s">
        <v>76</v>
      </c>
    </row>
    <row r="2" spans="1:9">
      <c r="A2" s="7" t="s">
        <v>77</v>
      </c>
    </row>
    <row r="4" spans="1:9" ht="15.75">
      <c r="A4" s="56" t="s">
        <v>78</v>
      </c>
      <c r="C4" s="7" t="s">
        <v>79</v>
      </c>
    </row>
    <row r="6" spans="1:9">
      <c r="A6" s="8" t="s">
        <v>87</v>
      </c>
      <c r="B6" s="8">
        <v>18</v>
      </c>
      <c r="C6" s="8">
        <v>19</v>
      </c>
      <c r="E6" s="8" t="s">
        <v>88</v>
      </c>
      <c r="F6" s="8">
        <v>1</v>
      </c>
      <c r="H6" s="8" t="s">
        <v>89</v>
      </c>
      <c r="I6" s="8" t="s">
        <v>92</v>
      </c>
    </row>
    <row r="7" spans="1:9">
      <c r="A7" s="8" t="s">
        <v>80</v>
      </c>
      <c r="B7" s="8" t="s">
        <v>81</v>
      </c>
      <c r="C7" s="9">
        <f>Car.Soll.!H29*F7</f>
        <v>156.95552572926835</v>
      </c>
      <c r="D7" s="7" t="s">
        <v>82</v>
      </c>
      <c r="E7" s="8" t="s">
        <v>122</v>
      </c>
      <c r="F7" s="11">
        <v>1</v>
      </c>
      <c r="G7" s="59" t="s">
        <v>93</v>
      </c>
    </row>
    <row r="8" spans="1:9">
      <c r="A8" s="8" t="s">
        <v>84</v>
      </c>
      <c r="B8" s="8" t="s">
        <v>81</v>
      </c>
      <c r="C8" s="9">
        <v>60</v>
      </c>
      <c r="D8" s="7" t="s">
        <v>82</v>
      </c>
      <c r="E8" s="59" t="s">
        <v>94</v>
      </c>
    </row>
    <row r="9" spans="1:9">
      <c r="A9" s="8" t="s">
        <v>86</v>
      </c>
      <c r="B9" s="8" t="s">
        <v>130</v>
      </c>
      <c r="C9" s="9">
        <f>C7+C8</f>
        <v>216.95552572926835</v>
      </c>
      <c r="D9" s="7" t="s">
        <v>82</v>
      </c>
    </row>
    <row r="11" spans="1:9">
      <c r="A11" s="8" t="s">
        <v>87</v>
      </c>
      <c r="B11" s="8">
        <v>20</v>
      </c>
      <c r="C11" s="8">
        <v>27</v>
      </c>
      <c r="E11" s="8" t="s">
        <v>88</v>
      </c>
      <c r="F11" s="8">
        <v>1</v>
      </c>
      <c r="H11" s="8" t="s">
        <v>89</v>
      </c>
      <c r="I11" s="8" t="s">
        <v>90</v>
      </c>
    </row>
    <row r="12" spans="1:9">
      <c r="A12" s="8" t="s">
        <v>80</v>
      </c>
      <c r="B12" s="8" t="s">
        <v>81</v>
      </c>
      <c r="C12" s="9">
        <f>Car.Soll.!H57*F12</f>
        <v>183.49836535525671</v>
      </c>
      <c r="D12" s="7" t="s">
        <v>82</v>
      </c>
      <c r="E12" s="8" t="s">
        <v>122</v>
      </c>
      <c r="F12" s="11">
        <v>1.2</v>
      </c>
      <c r="G12" s="59" t="s">
        <v>83</v>
      </c>
    </row>
    <row r="13" spans="1:9">
      <c r="A13" s="8" t="s">
        <v>84</v>
      </c>
      <c r="B13" s="8" t="s">
        <v>81</v>
      </c>
      <c r="C13" s="9">
        <v>30</v>
      </c>
      <c r="D13" s="7" t="s">
        <v>82</v>
      </c>
      <c r="E13" s="59" t="s">
        <v>85</v>
      </c>
    </row>
    <row r="14" spans="1:9">
      <c r="A14" s="8" t="s">
        <v>86</v>
      </c>
      <c r="B14" s="8" t="s">
        <v>130</v>
      </c>
      <c r="C14" s="9">
        <f>C12+C13</f>
        <v>213.49836535525671</v>
      </c>
      <c r="D14" s="7" t="s">
        <v>82</v>
      </c>
    </row>
    <row r="16" spans="1:9">
      <c r="A16" s="8" t="s">
        <v>87</v>
      </c>
      <c r="B16" s="8">
        <v>20</v>
      </c>
      <c r="C16" s="8">
        <v>27</v>
      </c>
      <c r="E16" s="8" t="s">
        <v>88</v>
      </c>
      <c r="F16" s="8">
        <v>2</v>
      </c>
      <c r="H16" s="8" t="s">
        <v>89</v>
      </c>
      <c r="I16" s="8" t="s">
        <v>90</v>
      </c>
    </row>
    <row r="17" spans="1:9">
      <c r="A17" s="8" t="s">
        <v>80</v>
      </c>
      <c r="B17" s="8" t="s">
        <v>81</v>
      </c>
      <c r="C17" s="9">
        <f>Car.Soll.!H56*F17</f>
        <v>174.69488643593584</v>
      </c>
      <c r="D17" s="7" t="s">
        <v>82</v>
      </c>
      <c r="E17" s="8" t="s">
        <v>122</v>
      </c>
      <c r="F17" s="11">
        <v>1.2</v>
      </c>
      <c r="G17" s="59" t="s">
        <v>83</v>
      </c>
    </row>
    <row r="18" spans="1:9">
      <c r="A18" s="8" t="s">
        <v>84</v>
      </c>
      <c r="B18" s="8" t="s">
        <v>81</v>
      </c>
      <c r="C18" s="9">
        <v>60</v>
      </c>
      <c r="D18" s="7" t="s">
        <v>82</v>
      </c>
      <c r="E18" s="59" t="s">
        <v>91</v>
      </c>
    </row>
    <row r="19" spans="1:9">
      <c r="A19" s="8" t="s">
        <v>86</v>
      </c>
      <c r="B19" s="8" t="s">
        <v>130</v>
      </c>
      <c r="C19" s="9">
        <f>C17+C18</f>
        <v>234.69488643593584</v>
      </c>
      <c r="D19" s="7" t="s">
        <v>82</v>
      </c>
      <c r="E19" s="41" t="s">
        <v>200</v>
      </c>
      <c r="G19" s="41" t="s">
        <v>201</v>
      </c>
    </row>
    <row r="21" spans="1:9">
      <c r="A21" s="8" t="s">
        <v>87</v>
      </c>
      <c r="B21" s="8">
        <v>20</v>
      </c>
      <c r="C21" s="8">
        <v>27</v>
      </c>
      <c r="E21" s="8" t="s">
        <v>88</v>
      </c>
      <c r="F21" s="8">
        <v>4</v>
      </c>
      <c r="H21" s="8" t="s">
        <v>89</v>
      </c>
      <c r="I21" s="8" t="s">
        <v>90</v>
      </c>
    </row>
    <row r="22" spans="1:9">
      <c r="A22" s="8" t="s">
        <v>80</v>
      </c>
      <c r="B22" s="8" t="s">
        <v>81</v>
      </c>
      <c r="C22" s="9">
        <f>Car.Soll.!H54*F22</f>
        <v>91.632484555805803</v>
      </c>
      <c r="D22" s="7" t="s">
        <v>82</v>
      </c>
      <c r="E22" s="8" t="s">
        <v>122</v>
      </c>
      <c r="F22" s="11">
        <v>1.2</v>
      </c>
      <c r="G22" s="59" t="s">
        <v>83</v>
      </c>
    </row>
    <row r="23" spans="1:9">
      <c r="A23" s="8" t="s">
        <v>84</v>
      </c>
      <c r="B23" s="8" t="s">
        <v>81</v>
      </c>
      <c r="C23" s="9">
        <v>60</v>
      </c>
      <c r="D23" s="7" t="s">
        <v>82</v>
      </c>
      <c r="E23" s="59" t="s">
        <v>91</v>
      </c>
    </row>
    <row r="24" spans="1:9">
      <c r="A24" s="8" t="s">
        <v>86</v>
      </c>
      <c r="B24" s="8" t="s">
        <v>130</v>
      </c>
      <c r="C24" s="9">
        <f>C22+C23</f>
        <v>151.6324845558058</v>
      </c>
      <c r="D24" s="7" t="s">
        <v>82</v>
      </c>
      <c r="E24" s="41" t="s">
        <v>95</v>
      </c>
    </row>
    <row r="27" spans="1:9" ht="15.75">
      <c r="A27" s="65" t="s">
        <v>7</v>
      </c>
    </row>
    <row r="29" spans="1:9">
      <c r="A29" s="8" t="s">
        <v>96</v>
      </c>
      <c r="B29" s="8">
        <v>2</v>
      </c>
      <c r="C29" s="8"/>
      <c r="E29" s="8" t="s">
        <v>97</v>
      </c>
      <c r="F29" s="8" t="s">
        <v>98</v>
      </c>
      <c r="H29" s="8" t="s">
        <v>89</v>
      </c>
      <c r="I29" s="8" t="s">
        <v>92</v>
      </c>
    </row>
    <row r="30" spans="1:9">
      <c r="A30" s="8" t="s">
        <v>80</v>
      </c>
      <c r="B30" s="8" t="s">
        <v>130</v>
      </c>
      <c r="C30" s="9">
        <f>Car.Soll.!F30*F30</f>
        <v>303.77807639803262</v>
      </c>
      <c r="D30" s="7" t="s">
        <v>82</v>
      </c>
      <c r="E30" s="8" t="s">
        <v>122</v>
      </c>
      <c r="F30" s="11">
        <v>1.2</v>
      </c>
      <c r="G30" s="59" t="s">
        <v>99</v>
      </c>
    </row>
    <row r="31" spans="1:9">
      <c r="A31" s="8"/>
      <c r="B31" s="8" t="s">
        <v>139</v>
      </c>
      <c r="C31" s="10">
        <v>0</v>
      </c>
      <c r="D31" s="7" t="s">
        <v>8</v>
      </c>
      <c r="E31" s="59" t="s">
        <v>100</v>
      </c>
    </row>
    <row r="32" spans="1:9">
      <c r="A32" s="8" t="s">
        <v>84</v>
      </c>
      <c r="B32" s="8" t="s">
        <v>101</v>
      </c>
      <c r="C32" s="10">
        <v>550</v>
      </c>
      <c r="D32" s="7" t="s">
        <v>8</v>
      </c>
      <c r="E32" s="59" t="s">
        <v>140</v>
      </c>
    </row>
    <row r="33" spans="1:12">
      <c r="A33" s="8"/>
      <c r="B33" s="8" t="s">
        <v>131</v>
      </c>
      <c r="C33" s="10">
        <f>C32-C31</f>
        <v>550</v>
      </c>
      <c r="D33" s="7" t="s">
        <v>8</v>
      </c>
      <c r="E33" s="59"/>
      <c r="F33" s="8" t="s">
        <v>132</v>
      </c>
      <c r="G33" s="10">
        <f>C32+C31</f>
        <v>550</v>
      </c>
      <c r="H33" s="7" t="s">
        <v>8</v>
      </c>
    </row>
    <row r="35" spans="1:12">
      <c r="A35" s="8" t="s">
        <v>96</v>
      </c>
      <c r="B35" s="8">
        <v>3</v>
      </c>
      <c r="C35" s="8"/>
      <c r="E35" s="8" t="s">
        <v>97</v>
      </c>
      <c r="F35" s="8" t="s">
        <v>98</v>
      </c>
      <c r="H35" s="8" t="s">
        <v>89</v>
      </c>
      <c r="I35" s="8" t="s">
        <v>92</v>
      </c>
      <c r="K35" s="7" t="s">
        <v>124</v>
      </c>
    </row>
    <row r="36" spans="1:12">
      <c r="A36" s="8" t="s">
        <v>80</v>
      </c>
      <c r="B36" s="8" t="s">
        <v>130</v>
      </c>
      <c r="C36" s="9">
        <f>Car.Soll.!K30*F36</f>
        <v>243.02246111842607</v>
      </c>
      <c r="D36" s="7" t="s">
        <v>82</v>
      </c>
      <c r="E36" s="8" t="s">
        <v>122</v>
      </c>
      <c r="F36" s="11">
        <v>1.2</v>
      </c>
      <c r="G36" s="59" t="s">
        <v>123</v>
      </c>
      <c r="K36" s="64" t="s">
        <v>125</v>
      </c>
      <c r="L36" s="8"/>
    </row>
    <row r="37" spans="1:12">
      <c r="A37" s="8"/>
      <c r="B37" s="8" t="s">
        <v>139</v>
      </c>
      <c r="C37" s="10">
        <f>Car.Soll.!M29*F36</f>
        <v>346.61996769714023</v>
      </c>
      <c r="D37" s="7" t="s">
        <v>8</v>
      </c>
      <c r="E37" s="59" t="s">
        <v>102</v>
      </c>
    </row>
    <row r="38" spans="1:12">
      <c r="A38" s="8" t="s">
        <v>84</v>
      </c>
      <c r="B38" s="8" t="s">
        <v>101</v>
      </c>
      <c r="C38" s="10">
        <v>400</v>
      </c>
      <c r="D38" s="7" t="s">
        <v>8</v>
      </c>
      <c r="E38" s="59" t="s">
        <v>103</v>
      </c>
    </row>
    <row r="39" spans="1:12">
      <c r="A39" s="8"/>
      <c r="B39" s="8" t="s">
        <v>131</v>
      </c>
      <c r="C39" s="10">
        <f>C38-C37</f>
        <v>53.380032302859775</v>
      </c>
      <c r="D39" s="7" t="s">
        <v>8</v>
      </c>
      <c r="E39" s="59"/>
      <c r="F39" s="8" t="s">
        <v>132</v>
      </c>
      <c r="G39" s="10">
        <f>C38+C37</f>
        <v>746.61996769714028</v>
      </c>
      <c r="H39" s="7" t="s">
        <v>8</v>
      </c>
    </row>
    <row r="41" spans="1:12">
      <c r="A41" s="8" t="s">
        <v>96</v>
      </c>
      <c r="B41" s="8">
        <v>20</v>
      </c>
      <c r="C41" s="8"/>
      <c r="E41" s="8" t="s">
        <v>97</v>
      </c>
      <c r="F41" s="8" t="s">
        <v>98</v>
      </c>
      <c r="H41" s="8" t="s">
        <v>89</v>
      </c>
      <c r="I41" s="8" t="s">
        <v>90</v>
      </c>
    </row>
    <row r="42" spans="1:12">
      <c r="A42" s="8" t="s">
        <v>80</v>
      </c>
      <c r="B42" s="8" t="s">
        <v>130</v>
      </c>
      <c r="C42" s="9">
        <f>Car.Soll.!F46*F42</f>
        <v>297.08205899020777</v>
      </c>
      <c r="D42" s="7" t="s">
        <v>82</v>
      </c>
      <c r="E42" s="8" t="s">
        <v>122</v>
      </c>
      <c r="F42" s="11">
        <v>1.2</v>
      </c>
      <c r="G42" s="59" t="s">
        <v>99</v>
      </c>
    </row>
    <row r="43" spans="1:12">
      <c r="A43" s="8"/>
      <c r="B43" s="8" t="s">
        <v>139</v>
      </c>
      <c r="C43" s="10">
        <v>0</v>
      </c>
      <c r="D43" s="7" t="s">
        <v>8</v>
      </c>
      <c r="E43" s="59" t="s">
        <v>100</v>
      </c>
    </row>
    <row r="44" spans="1:12">
      <c r="A44" s="8" t="s">
        <v>84</v>
      </c>
      <c r="B44" s="8" t="s">
        <v>101</v>
      </c>
      <c r="C44" s="10">
        <v>550</v>
      </c>
      <c r="D44" s="7" t="s">
        <v>8</v>
      </c>
      <c r="E44" s="59" t="s">
        <v>140</v>
      </c>
    </row>
    <row r="45" spans="1:12">
      <c r="A45" s="8"/>
      <c r="B45" s="8" t="s">
        <v>131</v>
      </c>
      <c r="C45" s="10">
        <f>C44-C43</f>
        <v>550</v>
      </c>
      <c r="D45" s="7" t="s">
        <v>8</v>
      </c>
      <c r="E45" s="59"/>
      <c r="F45" s="8" t="s">
        <v>132</v>
      </c>
      <c r="G45" s="10">
        <f>C44+C43</f>
        <v>550</v>
      </c>
      <c r="H45" s="7" t="s">
        <v>8</v>
      </c>
    </row>
    <row r="47" spans="1:12">
      <c r="A47" s="8" t="s">
        <v>96</v>
      </c>
      <c r="B47" s="8">
        <v>27</v>
      </c>
      <c r="C47" s="8"/>
      <c r="E47" s="8" t="s">
        <v>97</v>
      </c>
      <c r="F47" s="8" t="s">
        <v>98</v>
      </c>
      <c r="H47" s="8" t="s">
        <v>89</v>
      </c>
      <c r="I47" s="8" t="s">
        <v>90</v>
      </c>
      <c r="K47" s="7" t="s">
        <v>124</v>
      </c>
    </row>
    <row r="48" spans="1:12">
      <c r="A48" s="8" t="s">
        <v>80</v>
      </c>
      <c r="B48" s="8" t="s">
        <v>130</v>
      </c>
      <c r="C48" s="9">
        <f>Car.Soll.!K58*F48</f>
        <v>237.66564719216629</v>
      </c>
      <c r="D48" s="7" t="s">
        <v>82</v>
      </c>
      <c r="E48" s="8" t="s">
        <v>122</v>
      </c>
      <c r="F48" s="11">
        <v>1.2</v>
      </c>
      <c r="G48" s="59" t="s">
        <v>123</v>
      </c>
      <c r="K48" s="64" t="s">
        <v>125</v>
      </c>
      <c r="L48" s="8"/>
    </row>
    <row r="49" spans="1:12">
      <c r="A49" s="8"/>
      <c r="B49" s="8" t="s">
        <v>139</v>
      </c>
      <c r="C49" s="10">
        <f>Car.Soll.!M57*F48</f>
        <v>337.00778302468598</v>
      </c>
      <c r="D49" s="7" t="s">
        <v>8</v>
      </c>
      <c r="E49" s="59" t="s">
        <v>102</v>
      </c>
    </row>
    <row r="50" spans="1:12">
      <c r="A50" s="8" t="s">
        <v>84</v>
      </c>
      <c r="B50" s="8" t="s">
        <v>101</v>
      </c>
      <c r="C50" s="10">
        <v>400</v>
      </c>
      <c r="D50" s="7" t="s">
        <v>8</v>
      </c>
      <c r="E50" s="59" t="s">
        <v>103</v>
      </c>
    </row>
    <row r="51" spans="1:12">
      <c r="A51" s="8"/>
      <c r="B51" s="8" t="s">
        <v>131</v>
      </c>
      <c r="C51" s="10">
        <f>C50-C49</f>
        <v>62.992216975314022</v>
      </c>
      <c r="D51" s="7" t="s">
        <v>8</v>
      </c>
      <c r="E51" s="59"/>
      <c r="F51" s="8" t="s">
        <v>132</v>
      </c>
      <c r="G51" s="10">
        <f>C50+C49</f>
        <v>737.00778302468598</v>
      </c>
      <c r="H51" s="7" t="s">
        <v>8</v>
      </c>
    </row>
    <row r="53" spans="1:12">
      <c r="A53" s="8" t="s">
        <v>96</v>
      </c>
      <c r="B53" s="8">
        <v>2</v>
      </c>
      <c r="C53" s="8"/>
      <c r="E53" s="8" t="s">
        <v>97</v>
      </c>
      <c r="F53" s="8">
        <v>2</v>
      </c>
      <c r="H53" s="8" t="s">
        <v>89</v>
      </c>
      <c r="I53" s="8" t="s">
        <v>92</v>
      </c>
    </row>
    <row r="54" spans="1:12">
      <c r="A54" s="8" t="s">
        <v>80</v>
      </c>
      <c r="B54" s="8" t="s">
        <v>130</v>
      </c>
      <c r="C54" s="9">
        <f>Car.Soll.!G28*F54</f>
        <v>291.63962386713672</v>
      </c>
      <c r="D54" s="7" t="s">
        <v>82</v>
      </c>
      <c r="E54" s="8" t="s">
        <v>122</v>
      </c>
      <c r="F54" s="11">
        <v>1.2</v>
      </c>
      <c r="G54" s="59" t="s">
        <v>99</v>
      </c>
    </row>
    <row r="55" spans="1:12">
      <c r="A55" s="8"/>
      <c r="B55" s="8" t="s">
        <v>139</v>
      </c>
      <c r="C55" s="10">
        <v>0</v>
      </c>
      <c r="D55" s="7" t="s">
        <v>8</v>
      </c>
      <c r="E55" s="59" t="s">
        <v>100</v>
      </c>
    </row>
    <row r="56" spans="1:12">
      <c r="A56" s="8" t="s">
        <v>84</v>
      </c>
      <c r="B56" s="8" t="s">
        <v>101</v>
      </c>
      <c r="C56" s="10">
        <v>440</v>
      </c>
      <c r="D56" s="7" t="s">
        <v>8</v>
      </c>
      <c r="E56" s="59" t="s">
        <v>140</v>
      </c>
    </row>
    <row r="57" spans="1:12">
      <c r="A57" s="8"/>
      <c r="B57" s="8" t="s">
        <v>131</v>
      </c>
      <c r="C57" s="10">
        <f>C56-C55</f>
        <v>440</v>
      </c>
      <c r="D57" s="7" t="s">
        <v>8</v>
      </c>
      <c r="E57" s="59"/>
      <c r="F57" s="8" t="s">
        <v>132</v>
      </c>
      <c r="G57" s="10">
        <f>C56+C55</f>
        <v>440</v>
      </c>
      <c r="H57" s="7" t="s">
        <v>8</v>
      </c>
    </row>
    <row r="59" spans="1:12">
      <c r="A59" s="8" t="s">
        <v>96</v>
      </c>
      <c r="B59" s="8">
        <v>3</v>
      </c>
      <c r="C59" s="8"/>
      <c r="E59" s="8" t="s">
        <v>97</v>
      </c>
      <c r="F59" s="8">
        <v>2</v>
      </c>
      <c r="H59" s="8" t="s">
        <v>89</v>
      </c>
      <c r="I59" s="8" t="s">
        <v>92</v>
      </c>
      <c r="K59" s="7" t="s">
        <v>124</v>
      </c>
    </row>
    <row r="60" spans="1:12">
      <c r="A60" s="8" t="s">
        <v>80</v>
      </c>
      <c r="B60" s="8" t="s">
        <v>130</v>
      </c>
      <c r="C60" s="9">
        <f>Car.Soll.!L28*F60</f>
        <v>174.98377432028204</v>
      </c>
      <c r="D60" s="7" t="s">
        <v>82</v>
      </c>
      <c r="E60" s="8" t="s">
        <v>122</v>
      </c>
      <c r="F60" s="11">
        <v>1.2</v>
      </c>
      <c r="G60" s="59" t="s">
        <v>123</v>
      </c>
      <c r="K60" s="64" t="s">
        <v>125</v>
      </c>
      <c r="L60" s="8"/>
    </row>
    <row r="61" spans="1:12">
      <c r="A61" s="8"/>
      <c r="B61" s="8" t="s">
        <v>139</v>
      </c>
      <c r="C61" s="10">
        <f>Car.Soll.!M28*F60</f>
        <v>244.53507291387623</v>
      </c>
      <c r="D61" s="7" t="s">
        <v>8</v>
      </c>
      <c r="E61" s="59" t="s">
        <v>102</v>
      </c>
    </row>
    <row r="62" spans="1:12">
      <c r="A62" s="8" t="s">
        <v>84</v>
      </c>
      <c r="B62" s="8" t="s">
        <v>101</v>
      </c>
      <c r="C62" s="10">
        <v>320</v>
      </c>
      <c r="D62" s="7" t="s">
        <v>8</v>
      </c>
      <c r="E62" s="59" t="s">
        <v>103</v>
      </c>
    </row>
    <row r="63" spans="1:12">
      <c r="A63" s="8"/>
      <c r="B63" s="8" t="s">
        <v>131</v>
      </c>
      <c r="C63" s="10">
        <f>C62-C61</f>
        <v>75.464927086123765</v>
      </c>
      <c r="D63" s="7" t="s">
        <v>8</v>
      </c>
      <c r="E63" s="59"/>
      <c r="F63" s="8" t="s">
        <v>132</v>
      </c>
      <c r="G63" s="10">
        <f>C62+C61</f>
        <v>564.53507291387621</v>
      </c>
      <c r="H63" s="7" t="s">
        <v>8</v>
      </c>
    </row>
    <row r="65" spans="1:12">
      <c r="A65" s="8" t="s">
        <v>96</v>
      </c>
      <c r="B65" s="8">
        <v>20</v>
      </c>
      <c r="C65" s="8"/>
      <c r="E65" s="8" t="s">
        <v>97</v>
      </c>
      <c r="F65" s="8">
        <v>2</v>
      </c>
      <c r="H65" s="8" t="s">
        <v>89</v>
      </c>
      <c r="I65" s="8" t="s">
        <v>90</v>
      </c>
    </row>
    <row r="66" spans="1:12">
      <c r="A66" s="8" t="s">
        <v>80</v>
      </c>
      <c r="B66" s="8" t="s">
        <v>130</v>
      </c>
      <c r="C66" s="9">
        <f>Car.Soll.!G56*F66</f>
        <v>283.12124297458303</v>
      </c>
      <c r="D66" s="7" t="s">
        <v>82</v>
      </c>
      <c r="E66" s="8" t="s">
        <v>122</v>
      </c>
      <c r="F66" s="11">
        <v>1.2</v>
      </c>
      <c r="G66" s="59" t="s">
        <v>99</v>
      </c>
    </row>
    <row r="67" spans="1:12">
      <c r="A67" s="8"/>
      <c r="B67" s="8" t="s">
        <v>139</v>
      </c>
      <c r="C67" s="10">
        <v>0</v>
      </c>
      <c r="D67" s="7" t="s">
        <v>8</v>
      </c>
      <c r="E67" s="59" t="s">
        <v>100</v>
      </c>
    </row>
    <row r="68" spans="1:12">
      <c r="A68" s="8" t="s">
        <v>84</v>
      </c>
      <c r="B68" s="8" t="s">
        <v>101</v>
      </c>
      <c r="C68" s="10">
        <v>440</v>
      </c>
      <c r="D68" s="7" t="s">
        <v>8</v>
      </c>
      <c r="E68" s="59" t="s">
        <v>140</v>
      </c>
    </row>
    <row r="69" spans="1:12">
      <c r="A69" s="8"/>
      <c r="B69" s="8" t="s">
        <v>131</v>
      </c>
      <c r="C69" s="10">
        <f>C68-C67</f>
        <v>440</v>
      </c>
      <c r="D69" s="7" t="s">
        <v>8</v>
      </c>
      <c r="E69" s="59"/>
      <c r="F69" s="8" t="s">
        <v>132</v>
      </c>
      <c r="G69" s="10">
        <f>C68+C67</f>
        <v>440</v>
      </c>
      <c r="H69" s="7" t="s">
        <v>8</v>
      </c>
    </row>
    <row r="71" spans="1:12">
      <c r="A71" s="8" t="s">
        <v>96</v>
      </c>
      <c r="B71" s="8">
        <v>27</v>
      </c>
      <c r="C71" s="8"/>
      <c r="E71" s="8" t="s">
        <v>97</v>
      </c>
      <c r="F71" s="8">
        <v>2</v>
      </c>
      <c r="H71" s="8" t="s">
        <v>89</v>
      </c>
      <c r="I71" s="8" t="s">
        <v>90</v>
      </c>
      <c r="K71" s="7" t="s">
        <v>124</v>
      </c>
    </row>
    <row r="72" spans="1:12">
      <c r="A72" s="8" t="s">
        <v>80</v>
      </c>
      <c r="B72" s="8" t="s">
        <v>130</v>
      </c>
      <c r="C72" s="9">
        <f>Car.Soll.!L56*F72</f>
        <v>169.87274578474981</v>
      </c>
      <c r="D72" s="7" t="s">
        <v>82</v>
      </c>
      <c r="E72" s="8" t="s">
        <v>122</v>
      </c>
      <c r="F72" s="11">
        <v>1.2</v>
      </c>
      <c r="G72" s="59" t="s">
        <v>123</v>
      </c>
      <c r="K72" s="64" t="s">
        <v>125</v>
      </c>
      <c r="L72" s="8"/>
    </row>
    <row r="73" spans="1:12">
      <c r="A73" s="8"/>
      <c r="B73" s="8" t="s">
        <v>139</v>
      </c>
      <c r="C73" s="10">
        <f>Car.Soll.!M56*F72</f>
        <v>237.55067443105094</v>
      </c>
      <c r="D73" s="7" t="s">
        <v>8</v>
      </c>
      <c r="E73" s="59" t="s">
        <v>102</v>
      </c>
    </row>
    <row r="74" spans="1:12">
      <c r="A74" s="8" t="s">
        <v>84</v>
      </c>
      <c r="B74" s="8" t="s">
        <v>101</v>
      </c>
      <c r="C74" s="10">
        <v>320</v>
      </c>
      <c r="D74" s="7" t="s">
        <v>8</v>
      </c>
      <c r="E74" s="59" t="s">
        <v>103</v>
      </c>
    </row>
    <row r="75" spans="1:12">
      <c r="A75" s="8"/>
      <c r="B75" s="8" t="s">
        <v>131</v>
      </c>
      <c r="C75" s="10">
        <f>C74-C73</f>
        <v>82.449325568949064</v>
      </c>
      <c r="D75" s="7" t="s">
        <v>8</v>
      </c>
      <c r="E75" s="59"/>
      <c r="F75" s="8" t="s">
        <v>132</v>
      </c>
      <c r="G75" s="10">
        <f>C74+C73</f>
        <v>557.55067443105099</v>
      </c>
      <c r="H75" s="7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Travi</vt:lpstr>
      <vt:lpstr>Pilastri</vt:lpstr>
      <vt:lpstr>Spettri di risposta</vt:lpstr>
      <vt:lpstr>Rigidezze</vt:lpstr>
      <vt:lpstr>Rayleigh</vt:lpstr>
      <vt:lpstr>Car.Soll.</vt:lpstr>
      <vt:lpstr>Dimensionamento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2017-04-19T13:36:05Z</dcterms:created>
  <dcterms:modified xsi:type="dcterms:W3CDTF">2018-04-15T22:25:14Z</dcterms:modified>
</cp:coreProperties>
</file>